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defaultThemeVersion="124226"/>
  <mc:AlternateContent xmlns:mc="http://schemas.openxmlformats.org/markup-compatibility/2006">
    <mc:Choice Requires="x15">
      <x15ac:absPath xmlns:x15ac="http://schemas.microsoft.com/office/spreadsheetml/2010/11/ac" url="https://movebank.sharepoint.com/sites/MarketingTeam77/Shared Documents/General/18 Brokers/Broker Worksheet/"/>
    </mc:Choice>
  </mc:AlternateContent>
  <xr:revisionPtr revIDLastSave="0" documentId="8_{BEBFFE23-4B8E-4986-8FFA-FCB0F2D9AAE5}" xr6:coauthVersionLast="47" xr6:coauthVersionMax="47" xr10:uidLastSave="{00000000-0000-0000-0000-000000000000}"/>
  <bookViews>
    <workbookView xWindow="4920" yWindow="1995" windowWidth="16920" windowHeight="10530" xr2:uid="{00000000-000D-0000-FFFF-FFFF00000000}"/>
  </bookViews>
  <sheets>
    <sheet name="Broker" sheetId="18" r:id="rId1"/>
    <sheet name="Tables_Brokers" sheetId="17" state="hidden" r:id="rId2"/>
    <sheet name="Worksheet" sheetId="1" state="hidden" r:id="rId3"/>
    <sheet name="Tables" sheetId="4" state="hidden" r:id="rId4"/>
    <sheet name="DropINTable" sheetId="12" state="hidden" r:id="rId5"/>
    <sheet name="Schedule of Changes" sheetId="23" state="hidden" r:id="rId6"/>
    <sheet name="Living Expenses" sheetId="14" r:id="rId7"/>
    <sheet name="Funds to Complete" sheetId="16" r:id="rId8"/>
    <sheet name="Fees" sheetId="21" r:id="rId9"/>
    <sheet name="ARS223" sheetId="24" r:id="rId10"/>
    <sheet name="Bridging" sheetId="22" state="hidden" r:id="rId11"/>
    <sheet name="Postcodes" sheetId="10" r:id="rId12"/>
    <sheet name="Self-Employed" sheetId="26" r:id="rId13"/>
    <sheet name="Geographic Classification" sheetId="7" state="hidden" r:id="rId14"/>
    <sheet name="HEM" sheetId="13" state="hidden" r:id="rId15"/>
    <sheet name="Per_child_accounting" sheetId="9" state="hidden" r:id="rId16"/>
    <sheet name="Quantile Regressions" sheetId="8" state="hidden" r:id="rId17"/>
  </sheets>
  <externalReferences>
    <externalReference r:id="rId18"/>
  </externalReferences>
  <definedNames>
    <definedName name="_xlnm._FilterDatabase" localSheetId="0" hidden="1">Broker!$B$53:$G$55</definedName>
    <definedName name="_xlnm._FilterDatabase" localSheetId="14" hidden="1">HEM!$A$9:$AU$243</definedName>
    <definedName name="_xlnm._FilterDatabase" localSheetId="2" hidden="1">Worksheet!$B$53:$G$55</definedName>
    <definedName name="ACT">Postcodes!$I$9:$J$35</definedName>
    <definedName name="App" localSheetId="1">Tables_Brokers!$C$301:$C$302</definedName>
    <definedName name="App">Tables!$C$358:$C$359</definedName>
    <definedName name="Approval_Officers" localSheetId="1">Tables_Brokers!$A$17:$C$25</definedName>
    <definedName name="Approval_Officers">Tables!$A$18:$C$24</definedName>
    <definedName name="Australia">HEM!$C$10:$Q$24</definedName>
    <definedName name="CC_Rates">Tables!$C$271:$C$273</definedName>
    <definedName name="Confirmed" localSheetId="1">Tables_Brokers!$A$328:$A$329</definedName>
    <definedName name="Confirmed">Tables!$A$385:$A$386</definedName>
    <definedName name="CreditReport" localSheetId="1">Tables_Brokers!$A$346:$A$352</definedName>
    <definedName name="CreditReport">Tables!$A$403:$A$409</definedName>
    <definedName name="Delegations" localSheetId="1">Tables_Brokers!$A$28:$G$126</definedName>
    <definedName name="Delegations">Tables!$A$29:$M$138</definedName>
    <definedName name="Family" localSheetId="1">Tables_Brokers!$A$294:$C$298</definedName>
    <definedName name="Family">Tables!$A$327:$C$331</definedName>
    <definedName name="HELP_Table_2020_21">Tables!$A$335:$B$353</definedName>
    <definedName name="Interest_Type" localSheetId="1">Tables_Brokers!$A$238:$A$240</definedName>
    <definedName name="Interest_Type">Tables!$A$271:$A$273</definedName>
    <definedName name="LIVING">HEM!$C$10:$Q$246</definedName>
    <definedName name="Living_Expenses" localSheetId="1">Tables_Brokers!$F$243:$F$249</definedName>
    <definedName name="Living_Expenses">Tables!$F$276:$F$282</definedName>
    <definedName name="Location" localSheetId="1">Tables_Brokers!$C$254:$C$267</definedName>
    <definedName name="Location">Tables!$C$287:$C$300</definedName>
    <definedName name="NSRRate" localSheetId="1">Tables_Brokers!$A$136:$E$235</definedName>
    <definedName name="NSRRate">Tables!$A$157:$E$268</definedName>
    <definedName name="NSW">Postcodes!$A$9:$B$450</definedName>
    <definedName name="NT">Postcodes!$O$9:$P$26</definedName>
    <definedName name="PayFreq" localSheetId="1">Tables_Brokers!$B$244:$B$247</definedName>
    <definedName name="PayFreq">Tables!$B$277:$B$280</definedName>
    <definedName name="Period" localSheetId="1">Tables_Brokers!$B$243:$B$247</definedName>
    <definedName name="Period">Tables!$B$276:$B$280</definedName>
    <definedName name="_xlnm.Print_Area" localSheetId="0">Broker!$B$1:$M$84</definedName>
    <definedName name="_xlnm.Print_Area" localSheetId="7">'Funds to Complete'!$A$1:$D$46</definedName>
    <definedName name="_xlnm.Print_Area" localSheetId="6">'Living Expenses'!$A$1:$K$20</definedName>
    <definedName name="_xlnm.Print_Area" localSheetId="1">Tables_Brokers!$A$1:$L$352</definedName>
    <definedName name="_xlnm.Print_Area" localSheetId="2">Worksheet!$A$1:$M$67</definedName>
    <definedName name="Product_IR">Tables!$B$156:$P$268</definedName>
    <definedName name="Product_NSR" localSheetId="1">Tables_Brokers!$A$137:$E$235</definedName>
    <definedName name="Product_NSR">Tables_Brokers!$A$212:$E$235</definedName>
    <definedName name="ProductDLA">Tables!$B$29:$K35</definedName>
    <definedName name="QLD">Postcodes!$E$9:$F$250</definedName>
    <definedName name="Rates">Tables!$A$158:$C$268</definedName>
    <definedName name="Rates_Broker" localSheetId="1">Tables_Brokers!$A$137:$C$235</definedName>
    <definedName name="Rates_Broker">Tables_Brokers!$A$212:$C$235</definedName>
    <definedName name="Rates_Brokers">Tables_Brokers!$J$196</definedName>
    <definedName name="RegFees">Fees!$G$29:$H$36</definedName>
    <definedName name="Rent_Discount">Tables!$E$271:$E$272</definedName>
    <definedName name="SA">Postcodes!$M$9:$N$200</definedName>
    <definedName name="Single" localSheetId="1">Tables_Brokers!$A$287:$C$291</definedName>
    <definedName name="Single">Tables!$A$320:$C$324</definedName>
    <definedName name="Sydney">HEM!$C$27:$Q$41</definedName>
    <definedName name="Tables_Brokers">Broker!$E$24</definedName>
    <definedName name="TAS">Postcodes!$K$9:$L$69</definedName>
    <definedName name="VIC">Postcodes!$C$7:$D$379</definedName>
    <definedName name="WA">Postcodes!$G$9:$H$168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8" i="4" l="1"/>
  <c r="C266" i="4"/>
  <c r="C264" i="4"/>
  <c r="C262" i="4"/>
  <c r="C259" i="4"/>
  <c r="C260" i="4" s="1"/>
  <c r="C258" i="4"/>
  <c r="C256" i="4"/>
  <c r="C255" i="4"/>
  <c r="C253" i="4"/>
  <c r="C254" i="4" s="1"/>
  <c r="C248" i="4"/>
  <c r="C245" i="4"/>
  <c r="C246" i="4" s="1"/>
  <c r="C242" i="4"/>
  <c r="C241" i="4"/>
  <c r="C240" i="4"/>
  <c r="P18" i="18"/>
  <c r="J34" i="26"/>
  <c r="E34" i="26"/>
  <c r="J33" i="26"/>
  <c r="E33" i="26"/>
  <c r="G32" i="26"/>
  <c r="B32" i="26"/>
  <c r="I29" i="26"/>
  <c r="I22" i="26"/>
  <c r="I24" i="26" s="1"/>
  <c r="I28" i="26" s="1"/>
  <c r="D22" i="26"/>
  <c r="I14" i="26"/>
  <c r="I13" i="26"/>
  <c r="I16" i="26" s="1"/>
  <c r="D13" i="26"/>
  <c r="D16" i="26" s="1"/>
  <c r="L10" i="26"/>
  <c r="L8" i="26"/>
  <c r="L7" i="26"/>
  <c r="L16" i="26" l="1"/>
  <c r="D24" i="26"/>
  <c r="L22" i="26"/>
  <c r="L13" i="26"/>
  <c r="E24" i="18"/>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139" i="17"/>
  <c r="C140" i="17"/>
  <c r="C141" i="17"/>
  <c r="C142" i="17"/>
  <c r="C143" i="17"/>
  <c r="C138" i="17"/>
  <c r="C137" i="17"/>
  <c r="P238" i="4"/>
  <c r="E238" i="4" s="1"/>
  <c r="E210" i="17" s="1"/>
  <c r="P237" i="4"/>
  <c r="E237" i="4" s="1"/>
  <c r="E209" i="17" s="1"/>
  <c r="P236" i="4"/>
  <c r="D236" i="4" s="1"/>
  <c r="Q236" i="4" s="1"/>
  <c r="P235" i="4"/>
  <c r="E235" i="4" s="1"/>
  <c r="E207" i="17" s="1"/>
  <c r="P234" i="4"/>
  <c r="E234" i="4" s="1"/>
  <c r="E206" i="17" s="1"/>
  <c r="P233" i="4"/>
  <c r="D233" i="4" s="1"/>
  <c r="Q233" i="4" s="1"/>
  <c r="P232" i="4"/>
  <c r="E232" i="4" s="1"/>
  <c r="E204" i="17" s="1"/>
  <c r="P231" i="4"/>
  <c r="E231" i="4" s="1"/>
  <c r="E203" i="17" s="1"/>
  <c r="P230" i="4"/>
  <c r="D230" i="4" s="1"/>
  <c r="P229" i="4"/>
  <c r="E229" i="4" s="1"/>
  <c r="E201" i="17" s="1"/>
  <c r="P228" i="4"/>
  <c r="E228" i="4" s="1"/>
  <c r="E200" i="17" s="1"/>
  <c r="P227" i="4"/>
  <c r="D227" i="4" s="1"/>
  <c r="P226" i="4"/>
  <c r="E226" i="4" s="1"/>
  <c r="E198" i="17" s="1"/>
  <c r="P225" i="4"/>
  <c r="E225" i="4" s="1"/>
  <c r="E197" i="17" s="1"/>
  <c r="P224" i="4"/>
  <c r="E224" i="4" s="1"/>
  <c r="E196" i="17" s="1"/>
  <c r="P223" i="4"/>
  <c r="E223" i="4" s="1"/>
  <c r="E195" i="17" s="1"/>
  <c r="P222" i="4"/>
  <c r="E222" i="4" s="1"/>
  <c r="E194" i="17" s="1"/>
  <c r="P221" i="4"/>
  <c r="D221" i="4" s="1"/>
  <c r="Q221" i="4" s="1"/>
  <c r="P220" i="4"/>
  <c r="E220" i="4" s="1"/>
  <c r="E192" i="17" s="1"/>
  <c r="P219" i="4"/>
  <c r="E219" i="4" s="1"/>
  <c r="E191" i="17" s="1"/>
  <c r="P218" i="4"/>
  <c r="E218" i="4" s="1"/>
  <c r="E190" i="17" s="1"/>
  <c r="P217" i="4"/>
  <c r="E217" i="4" s="1"/>
  <c r="E189" i="17" s="1"/>
  <c r="P216" i="4"/>
  <c r="E216" i="4" s="1"/>
  <c r="E188" i="17" s="1"/>
  <c r="P215" i="4"/>
  <c r="E215" i="4" s="1"/>
  <c r="E187" i="17" s="1"/>
  <c r="P214" i="4"/>
  <c r="E214" i="4" s="1"/>
  <c r="E186" i="17" s="1"/>
  <c r="P213" i="4"/>
  <c r="E213" i="4" s="1"/>
  <c r="E185" i="17" s="1"/>
  <c r="P212" i="4"/>
  <c r="E212" i="4" s="1"/>
  <c r="E184" i="17" s="1"/>
  <c r="P211" i="4"/>
  <c r="E211" i="4" s="1"/>
  <c r="E183" i="17" s="1"/>
  <c r="P210" i="4"/>
  <c r="D210" i="4" s="1"/>
  <c r="Q210" i="4" s="1"/>
  <c r="P209" i="4"/>
  <c r="E209" i="4" s="1"/>
  <c r="E181" i="17" s="1"/>
  <c r="P208" i="4"/>
  <c r="D208" i="4" s="1"/>
  <c r="P207" i="4"/>
  <c r="E207" i="4" s="1"/>
  <c r="E179" i="17" s="1"/>
  <c r="P206" i="4"/>
  <c r="E206" i="4" s="1"/>
  <c r="E178" i="17" s="1"/>
  <c r="P205" i="4"/>
  <c r="E205" i="4" s="1"/>
  <c r="E177" i="17" s="1"/>
  <c r="P204" i="4"/>
  <c r="E204" i="4" s="1"/>
  <c r="E176" i="17" s="1"/>
  <c r="P203" i="4"/>
  <c r="D203" i="4" s="1"/>
  <c r="Q203" i="4" s="1"/>
  <c r="P202" i="4"/>
  <c r="E202" i="4" s="1"/>
  <c r="E174" i="17" s="1"/>
  <c r="P201" i="4"/>
  <c r="E201" i="4" s="1"/>
  <c r="E173" i="17" s="1"/>
  <c r="P200" i="4"/>
  <c r="D200" i="4" s="1"/>
  <c r="Q200" i="4" s="1"/>
  <c r="P199" i="4"/>
  <c r="E199" i="4" s="1"/>
  <c r="E171" i="17" s="1"/>
  <c r="P198" i="4"/>
  <c r="E198" i="4" s="1"/>
  <c r="E170" i="17" s="1"/>
  <c r="P197" i="4"/>
  <c r="E197" i="4" s="1"/>
  <c r="E169" i="17" s="1"/>
  <c r="P196" i="4"/>
  <c r="E196" i="4" s="1"/>
  <c r="E168" i="17" s="1"/>
  <c r="P195" i="4"/>
  <c r="E195" i="4" s="1"/>
  <c r="E167" i="17" s="1"/>
  <c r="P194" i="4"/>
  <c r="E194" i="4" s="1"/>
  <c r="E166" i="17" s="1"/>
  <c r="P193" i="4"/>
  <c r="E193" i="4" s="1"/>
  <c r="E165" i="17" s="1"/>
  <c r="P192" i="4"/>
  <c r="P191" i="4"/>
  <c r="P190" i="4"/>
  <c r="D190" i="4" s="1"/>
  <c r="Q190" i="4" s="1"/>
  <c r="P189" i="4"/>
  <c r="E189" i="4" s="1"/>
  <c r="E161" i="17" s="1"/>
  <c r="P188" i="4"/>
  <c r="D188" i="4" s="1"/>
  <c r="P187" i="4"/>
  <c r="E187" i="4" s="1"/>
  <c r="E159" i="17" s="1"/>
  <c r="P186" i="4"/>
  <c r="E186" i="4" s="1"/>
  <c r="E158" i="17" s="1"/>
  <c r="P185" i="4"/>
  <c r="D185" i="4" s="1"/>
  <c r="Q185" i="4" s="1"/>
  <c r="P184" i="4"/>
  <c r="D184" i="4" s="1"/>
  <c r="P183" i="4"/>
  <c r="E183" i="4" s="1"/>
  <c r="E155" i="17" s="1"/>
  <c r="P182" i="4"/>
  <c r="E182" i="4" s="1"/>
  <c r="E154" i="17" s="1"/>
  <c r="P181" i="4"/>
  <c r="E181" i="4" s="1"/>
  <c r="E153" i="17" s="1"/>
  <c r="P180" i="4"/>
  <c r="E180" i="4" s="1"/>
  <c r="E152" i="17" s="1"/>
  <c r="P179" i="4"/>
  <c r="E179" i="4" s="1"/>
  <c r="E151" i="17" s="1"/>
  <c r="P178" i="4"/>
  <c r="E178" i="4" s="1"/>
  <c r="E150" i="17" s="1"/>
  <c r="P177" i="4"/>
  <c r="D177" i="4" s="1"/>
  <c r="Q177" i="4" s="1"/>
  <c r="P176" i="4"/>
  <c r="E176" i="4" s="1"/>
  <c r="E148" i="17" s="1"/>
  <c r="P175" i="4"/>
  <c r="E175" i="4" s="1"/>
  <c r="E147" i="17" s="1"/>
  <c r="P174" i="4"/>
  <c r="D174" i="4" s="1"/>
  <c r="Q174" i="4" s="1"/>
  <c r="P173" i="4"/>
  <c r="D173" i="4" s="1"/>
  <c r="P172" i="4"/>
  <c r="E172" i="4" s="1"/>
  <c r="E144" i="17" s="1"/>
  <c r="P171" i="4"/>
  <c r="D171" i="4" s="1"/>
  <c r="P170" i="4"/>
  <c r="E170" i="4" s="1"/>
  <c r="E142" i="17" s="1"/>
  <c r="P169" i="4"/>
  <c r="E169" i="4" s="1"/>
  <c r="E141" i="17" s="1"/>
  <c r="P168" i="4"/>
  <c r="E168" i="4" s="1"/>
  <c r="E140" i="17" s="1"/>
  <c r="P167" i="4"/>
  <c r="P166" i="4"/>
  <c r="E166" i="4" s="1"/>
  <c r="E138" i="17" s="1"/>
  <c r="P165" i="4"/>
  <c r="E165" i="4" s="1"/>
  <c r="E137" i="17" s="1"/>
  <c r="G149" i="4"/>
  <c r="F149" i="4"/>
  <c r="E149" i="4"/>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B25" i="17"/>
  <c r="A25" i="17"/>
  <c r="B24" i="17"/>
  <c r="A24" i="17"/>
  <c r="B23" i="17"/>
  <c r="A23" i="17"/>
  <c r="B22" i="17"/>
  <c r="A22" i="17"/>
  <c r="B21" i="17"/>
  <c r="A21" i="17"/>
  <c r="B20" i="17"/>
  <c r="A20" i="17"/>
  <c r="A19" i="17"/>
  <c r="B19" i="17"/>
  <c r="B18" i="17"/>
  <c r="A18" i="17"/>
  <c r="F6" i="17"/>
  <c r="F7" i="17"/>
  <c r="F5" i="17"/>
  <c r="D13" i="17"/>
  <c r="D12" i="17"/>
  <c r="D11" i="17"/>
  <c r="D10" i="17"/>
  <c r="D9" i="17"/>
  <c r="D8" i="17"/>
  <c r="D7" i="17"/>
  <c r="D6" i="17"/>
  <c r="D5" i="17"/>
  <c r="D4" i="17"/>
  <c r="A10" i="17"/>
  <c r="A9" i="17"/>
  <c r="A8" i="17"/>
  <c r="A7" i="17"/>
  <c r="A6" i="17"/>
  <c r="A5" i="17"/>
  <c r="A4" i="17"/>
  <c r="C126" i="17"/>
  <c r="C104" i="17"/>
  <c r="D149" i="4"/>
  <c r="C149" i="4"/>
  <c r="C148" i="4" s="1"/>
  <c r="D29" i="26" l="1"/>
  <c r="L24" i="26"/>
  <c r="D28" i="26"/>
  <c r="D194" i="4"/>
  <c r="D195" i="4"/>
  <c r="Q195" i="4" s="1"/>
  <c r="D202" i="4"/>
  <c r="D204" i="4"/>
  <c r="D214" i="4"/>
  <c r="Q214" i="4" s="1"/>
  <c r="D215" i="4"/>
  <c r="D216" i="4"/>
  <c r="D218" i="4"/>
  <c r="Q218" i="4" s="1"/>
  <c r="D219" i="4"/>
  <c r="D229" i="4"/>
  <c r="D170" i="4"/>
  <c r="E167" i="4"/>
  <c r="E139" i="17" s="1"/>
  <c r="D166" i="4"/>
  <c r="D138" i="17" s="1"/>
  <c r="D169" i="4"/>
  <c r="D178" i="4"/>
  <c r="Q178" i="4" s="1"/>
  <c r="D180" i="4"/>
  <c r="D191" i="4"/>
  <c r="Q191" i="4" s="1"/>
  <c r="D167" i="4"/>
  <c r="D139" i="17" s="1"/>
  <c r="Q227" i="4"/>
  <c r="D192" i="4"/>
  <c r="Q192" i="4" s="1"/>
  <c r="E177" i="4"/>
  <c r="E149" i="17" s="1"/>
  <c r="E210" i="4"/>
  <c r="E182" i="17" s="1"/>
  <c r="E227" i="4"/>
  <c r="E199" i="17" s="1"/>
  <c r="D211" i="4"/>
  <c r="Q211" i="4" s="1"/>
  <c r="E173" i="4"/>
  <c r="E145" i="17" s="1"/>
  <c r="E188" i="4"/>
  <c r="E160" i="17" s="1"/>
  <c r="D201" i="4"/>
  <c r="Q201" i="4" s="1"/>
  <c r="D189" i="4"/>
  <c r="Q189" i="4" s="1"/>
  <c r="E190" i="4"/>
  <c r="E162" i="17" s="1"/>
  <c r="E184" i="4"/>
  <c r="E156" i="17" s="1"/>
  <c r="E236" i="4"/>
  <c r="E208" i="17" s="1"/>
  <c r="E185" i="4"/>
  <c r="E157" i="17" s="1"/>
  <c r="E200" i="4"/>
  <c r="E172" i="17" s="1"/>
  <c r="D220" i="4"/>
  <c r="Q220" i="4" s="1"/>
  <c r="D207" i="4"/>
  <c r="Q207" i="4" s="1"/>
  <c r="E230" i="4"/>
  <c r="E202" i="17" s="1"/>
  <c r="E208" i="4"/>
  <c r="E180" i="17" s="1"/>
  <c r="D209" i="4"/>
  <c r="Q209" i="4" s="1"/>
  <c r="D234" i="4"/>
  <c r="Q234" i="4" s="1"/>
  <c r="D168" i="4"/>
  <c r="Q168" i="4" s="1"/>
  <c r="D224" i="4"/>
  <c r="D225" i="4"/>
  <c r="Q225" i="4" s="1"/>
  <c r="D196" i="4"/>
  <c r="Q196" i="4" s="1"/>
  <c r="E191" i="4"/>
  <c r="E163" i="17" s="1"/>
  <c r="E171" i="4"/>
  <c r="E143" i="17" s="1"/>
  <c r="D165" i="4"/>
  <c r="Q165" i="4" s="1"/>
  <c r="Q230" i="4"/>
  <c r="D202" i="17"/>
  <c r="D232" i="4"/>
  <c r="E233" i="4"/>
  <c r="E205" i="17" s="1"/>
  <c r="D208" i="17"/>
  <c r="D235" i="4"/>
  <c r="D206" i="17"/>
  <c r="D205" i="17"/>
  <c r="D231" i="4"/>
  <c r="D199" i="17"/>
  <c r="D226" i="4"/>
  <c r="D193" i="17"/>
  <c r="E221" i="4"/>
  <c r="E193" i="17" s="1"/>
  <c r="D223" i="4"/>
  <c r="Q208" i="4"/>
  <c r="D180" i="17"/>
  <c r="D206" i="4"/>
  <c r="D182" i="17"/>
  <c r="D205" i="4"/>
  <c r="E203" i="4"/>
  <c r="E175" i="17" s="1"/>
  <c r="D175" i="17"/>
  <c r="D197" i="4"/>
  <c r="D172" i="17"/>
  <c r="D193" i="4"/>
  <c r="E192" i="4"/>
  <c r="E164" i="17" s="1"/>
  <c r="D162" i="17"/>
  <c r="Q188" i="4"/>
  <c r="D160" i="17"/>
  <c r="Q184" i="4"/>
  <c r="D156" i="17"/>
  <c r="D182" i="4"/>
  <c r="D157" i="17"/>
  <c r="D183" i="4"/>
  <c r="D149" i="17"/>
  <c r="Q173" i="4"/>
  <c r="D145" i="17"/>
  <c r="Q171" i="4"/>
  <c r="D143" i="17"/>
  <c r="D175" i="4"/>
  <c r="D146" i="17"/>
  <c r="D172" i="4"/>
  <c r="E174" i="4"/>
  <c r="E146" i="17" s="1"/>
  <c r="D179" i="4"/>
  <c r="D186" i="4"/>
  <c r="D222" i="4"/>
  <c r="D176" i="4"/>
  <c r="D212" i="4"/>
  <c r="D187" i="4"/>
  <c r="D198" i="4"/>
  <c r="D213" i="4"/>
  <c r="D228" i="4"/>
  <c r="D181" i="4"/>
  <c r="D199" i="4"/>
  <c r="D217" i="4"/>
  <c r="D237" i="4"/>
  <c r="D238" i="4"/>
  <c r="E148" i="4"/>
  <c r="F148" i="4"/>
  <c r="G148" i="4"/>
  <c r="D163" i="17" l="1"/>
  <c r="D164" i="17"/>
  <c r="Q167" i="4"/>
  <c r="D181" i="17"/>
  <c r="D183" i="17"/>
  <c r="Q166" i="4"/>
  <c r="D161" i="17"/>
  <c r="D173" i="17"/>
  <c r="D179" i="17"/>
  <c r="D150" i="17"/>
  <c r="D192" i="17"/>
  <c r="D137" i="17"/>
  <c r="D140" i="17"/>
  <c r="D190" i="17"/>
  <c r="D167" i="17"/>
  <c r="D196" i="17"/>
  <c r="Q224" i="4"/>
  <c r="D197" i="17"/>
  <c r="D186" i="17"/>
  <c r="D168" i="17"/>
  <c r="Q237" i="4"/>
  <c r="D209" i="17"/>
  <c r="Q232" i="4"/>
  <c r="D204" i="17"/>
  <c r="Q238" i="4"/>
  <c r="D210" i="17"/>
  <c r="Q235" i="4"/>
  <c r="D207" i="17"/>
  <c r="Q231" i="4"/>
  <c r="D203" i="17"/>
  <c r="Q229" i="4"/>
  <c r="D201" i="17"/>
  <c r="Q228" i="4"/>
  <c r="D200" i="17"/>
  <c r="Q226" i="4"/>
  <c r="D198" i="17"/>
  <c r="Q222" i="4"/>
  <c r="D194" i="17"/>
  <c r="Q223" i="4"/>
  <c r="D195" i="17"/>
  <c r="Q219" i="4"/>
  <c r="D191" i="17"/>
  <c r="Q217" i="4"/>
  <c r="D189" i="17"/>
  <c r="Q216" i="4"/>
  <c r="D188" i="17"/>
  <c r="Q215" i="4"/>
  <c r="D187" i="17"/>
  <c r="Q213" i="4"/>
  <c r="D185" i="17"/>
  <c r="Q205" i="4"/>
  <c r="D177" i="17"/>
  <c r="D178" i="17"/>
  <c r="Q206" i="4"/>
  <c r="Q212" i="4"/>
  <c r="D184" i="17"/>
  <c r="Q204" i="4"/>
  <c r="D176" i="17"/>
  <c r="Q202" i="4"/>
  <c r="D174" i="17"/>
  <c r="Q199" i="4"/>
  <c r="D171" i="17"/>
  <c r="Q198" i="4"/>
  <c r="D170" i="17"/>
  <c r="Q197" i="4"/>
  <c r="D169" i="17"/>
  <c r="Q194" i="4"/>
  <c r="D166" i="17"/>
  <c r="Q193" i="4"/>
  <c r="D165" i="17"/>
  <c r="Q186" i="4"/>
  <c r="D158" i="17"/>
  <c r="Q183" i="4"/>
  <c r="D155" i="17"/>
  <c r="Q182" i="4"/>
  <c r="D154" i="17"/>
  <c r="Q187" i="4"/>
  <c r="D159" i="17"/>
  <c r="Q181" i="4"/>
  <c r="D153" i="17"/>
  <c r="Q180" i="4"/>
  <c r="D152" i="17"/>
  <c r="Q179" i="4"/>
  <c r="D151" i="17"/>
  <c r="Q176" i="4"/>
  <c r="D148" i="17"/>
  <c r="Q175" i="4"/>
  <c r="D147" i="17"/>
  <c r="Q172" i="4"/>
  <c r="D144" i="17"/>
  <c r="Q170" i="4"/>
  <c r="D142" i="17"/>
  <c r="Q169" i="4"/>
  <c r="D141" i="17"/>
  <c r="AC49" i="1"/>
  <c r="AB49" i="1"/>
  <c r="AB66" i="1"/>
  <c r="AB65" i="1"/>
  <c r="AB61" i="1"/>
  <c r="P255" i="4"/>
  <c r="P24" i="18"/>
  <c r="K104" i="17"/>
  <c r="J104" i="17"/>
  <c r="I104" i="17"/>
  <c r="H104" i="17"/>
  <c r="G104" i="17"/>
  <c r="F104" i="17"/>
  <c r="E104" i="17"/>
  <c r="D104" i="17"/>
  <c r="D131" i="17"/>
  <c r="P242" i="4"/>
  <c r="D242" i="4" s="1"/>
  <c r="E5" i="14"/>
  <c r="I7" i="14"/>
  <c r="C113" i="17"/>
  <c r="D113" i="17"/>
  <c r="E113" i="17"/>
  <c r="F113" i="17"/>
  <c r="G113" i="17"/>
  <c r="H113" i="17"/>
  <c r="I113" i="17"/>
  <c r="J113" i="17"/>
  <c r="K113" i="17"/>
  <c r="C114" i="17"/>
  <c r="D114" i="17"/>
  <c r="E114" i="17"/>
  <c r="F114" i="17"/>
  <c r="G114" i="17"/>
  <c r="H114" i="17"/>
  <c r="I114" i="17"/>
  <c r="J114" i="17"/>
  <c r="K114" i="17"/>
  <c r="C106" i="17"/>
  <c r="D106" i="17"/>
  <c r="E106" i="17"/>
  <c r="F106" i="17"/>
  <c r="G106" i="17"/>
  <c r="H106" i="17"/>
  <c r="I106" i="17"/>
  <c r="J106" i="17"/>
  <c r="K106" i="17"/>
  <c r="P241" i="4" l="1"/>
  <c r="D241" i="4" s="1"/>
  <c r="C222" i="17"/>
  <c r="E242" i="4"/>
  <c r="P256" i="4"/>
  <c r="E255" i="4"/>
  <c r="D255" i="4"/>
  <c r="E6" i="14"/>
  <c r="D6" i="14" s="1"/>
  <c r="I6" i="14"/>
  <c r="E8" i="14"/>
  <c r="D8" i="14" s="1"/>
  <c r="E7" i="14" s="1"/>
  <c r="I8" i="14"/>
  <c r="H8" i="14" s="1"/>
  <c r="I30" i="14"/>
  <c r="H30" i="14" s="1"/>
  <c r="I29" i="14" s="1"/>
  <c r="E30" i="14"/>
  <c r="D30" i="14" s="1"/>
  <c r="E29" i="14" s="1"/>
  <c r="I28" i="14"/>
  <c r="H28" i="14" s="1"/>
  <c r="I27" i="14" s="1"/>
  <c r="E28" i="14"/>
  <c r="D28" i="14" s="1"/>
  <c r="E27" i="14" s="1"/>
  <c r="I26" i="14"/>
  <c r="H26" i="14" s="1"/>
  <c r="I25" i="14" s="1"/>
  <c r="E26" i="14"/>
  <c r="D26" i="14" s="1"/>
  <c r="E25" i="14" s="1"/>
  <c r="I24" i="14"/>
  <c r="H24" i="14" s="1"/>
  <c r="I23" i="14" s="1"/>
  <c r="E24" i="14"/>
  <c r="D24" i="14" s="1"/>
  <c r="E23" i="14" s="1"/>
  <c r="I22" i="14"/>
  <c r="H22" i="14" s="1"/>
  <c r="I21" i="14" s="1"/>
  <c r="E22" i="14"/>
  <c r="D22" i="14" s="1"/>
  <c r="E21" i="14" s="1"/>
  <c r="I20" i="14"/>
  <c r="H20" i="14" s="1"/>
  <c r="I19" i="14" s="1"/>
  <c r="E20" i="14"/>
  <c r="D20" i="14" s="1"/>
  <c r="E19" i="14" s="1"/>
  <c r="C16" i="21"/>
  <c r="H5" i="21"/>
  <c r="P24" i="1"/>
  <c r="Q252" i="4"/>
  <c r="E241" i="4" l="1"/>
  <c r="H6" i="14"/>
  <c r="I5" i="14" s="1"/>
  <c r="Q255" i="4"/>
  <c r="Q241" i="4"/>
  <c r="C17" i="21"/>
  <c r="C18" i="21" s="1"/>
  <c r="C19" i="21" s="1"/>
  <c r="F20" i="9"/>
  <c r="G20" i="9"/>
  <c r="G19" i="9"/>
  <c r="F19" i="9"/>
  <c r="K19" i="9"/>
  <c r="G17" i="9"/>
  <c r="G16" i="9"/>
  <c r="F17" i="9"/>
  <c r="F16" i="9"/>
  <c r="B29" i="9"/>
  <c r="C29" i="9"/>
  <c r="B30" i="9"/>
  <c r="C30" i="9"/>
  <c r="B31" i="9"/>
  <c r="C31" i="9"/>
  <c r="B32" i="9"/>
  <c r="C32" i="9"/>
  <c r="B33" i="9"/>
  <c r="C33" i="9"/>
  <c r="B34" i="9"/>
  <c r="C34" i="9"/>
  <c r="B35" i="9"/>
  <c r="C35" i="9"/>
  <c r="B36" i="9"/>
  <c r="C36" i="9"/>
  <c r="B37" i="9"/>
  <c r="C37" i="9"/>
  <c r="C28" i="9"/>
  <c r="B28" i="9"/>
  <c r="B17" i="9"/>
  <c r="C17" i="9"/>
  <c r="B18" i="9"/>
  <c r="C18" i="9"/>
  <c r="B19" i="9"/>
  <c r="C19" i="9"/>
  <c r="B20" i="9"/>
  <c r="C20" i="9"/>
  <c r="B21" i="9"/>
  <c r="C21" i="9"/>
  <c r="B22" i="9"/>
  <c r="C22" i="9"/>
  <c r="B23" i="9"/>
  <c r="C23" i="9"/>
  <c r="B24" i="9"/>
  <c r="C24" i="9"/>
  <c r="B25" i="9"/>
  <c r="C25" i="9"/>
  <c r="C16" i="9"/>
  <c r="A9" i="9"/>
  <c r="A13" i="9"/>
  <c r="B16" i="9"/>
  <c r="AB13" i="9"/>
  <c r="AC13" i="9"/>
  <c r="AD13" i="9"/>
  <c r="AE13" i="9"/>
  <c r="AF13" i="9"/>
  <c r="AG13" i="9"/>
  <c r="AH13" i="9"/>
  <c r="AI13" i="9"/>
  <c r="AJ13" i="9"/>
  <c r="AK13" i="9"/>
  <c r="AL13" i="9"/>
  <c r="AM13" i="9"/>
  <c r="AN13" i="9"/>
  <c r="AO13" i="9"/>
  <c r="AB14" i="9"/>
  <c r="AC14" i="9"/>
  <c r="AD14" i="9"/>
  <c r="AE14" i="9"/>
  <c r="AF14" i="9"/>
  <c r="AG14" i="9"/>
  <c r="AH14" i="9"/>
  <c r="AI14" i="9"/>
  <c r="AJ14" i="9"/>
  <c r="AK14" i="9"/>
  <c r="AL14" i="9"/>
  <c r="AM14" i="9"/>
  <c r="AN14" i="9"/>
  <c r="AO14" i="9"/>
  <c r="AC12" i="9"/>
  <c r="AD12" i="9"/>
  <c r="AE12" i="9"/>
  <c r="AF12" i="9"/>
  <c r="AG12" i="9"/>
  <c r="AH12" i="9"/>
  <c r="AI12" i="9"/>
  <c r="AJ12" i="9"/>
  <c r="AK12" i="9"/>
  <c r="AL12" i="9"/>
  <c r="AM12" i="9"/>
  <c r="AN12" i="9"/>
  <c r="AO12" i="9"/>
  <c r="AB12" i="9"/>
  <c r="AC124" i="9"/>
  <c r="AD124" i="9"/>
  <c r="AE124" i="9"/>
  <c r="AF124" i="9"/>
  <c r="AG124" i="9"/>
  <c r="AH124" i="9"/>
  <c r="AI124" i="9"/>
  <c r="AJ124" i="9"/>
  <c r="AK124" i="9"/>
  <c r="AL124" i="9"/>
  <c r="AM124" i="9"/>
  <c r="AN124" i="9"/>
  <c r="AO124" i="9"/>
  <c r="AB124" i="9"/>
  <c r="AC123" i="9"/>
  <c r="AD123" i="9"/>
  <c r="AE123" i="9"/>
  <c r="AF123" i="9"/>
  <c r="AG123" i="9"/>
  <c r="AH123" i="9"/>
  <c r="AI123" i="9"/>
  <c r="AJ123" i="9"/>
  <c r="AK123" i="9"/>
  <c r="AL123" i="9"/>
  <c r="AM123" i="9"/>
  <c r="AN123" i="9"/>
  <c r="AO123" i="9"/>
  <c r="AB123" i="9"/>
  <c r="AC121" i="9"/>
  <c r="AD121" i="9"/>
  <c r="AE121" i="9"/>
  <c r="AF121" i="9"/>
  <c r="AG121" i="9"/>
  <c r="AH121" i="9"/>
  <c r="AI121" i="9"/>
  <c r="AJ121" i="9"/>
  <c r="AK121" i="9"/>
  <c r="AL121" i="9"/>
  <c r="AM121" i="9"/>
  <c r="AN121" i="9"/>
  <c r="AO121" i="9"/>
  <c r="AB121" i="9"/>
  <c r="AC120" i="9"/>
  <c r="AD120" i="9"/>
  <c r="AE120" i="9"/>
  <c r="AF120" i="9"/>
  <c r="AG120" i="9"/>
  <c r="AH120" i="9"/>
  <c r="AI120" i="9"/>
  <c r="AJ120" i="9"/>
  <c r="AK120" i="9"/>
  <c r="AL120" i="9"/>
  <c r="AM120" i="9"/>
  <c r="AN120" i="9"/>
  <c r="AO120" i="9"/>
  <c r="AB120" i="9"/>
  <c r="AC116" i="9"/>
  <c r="AD116" i="9"/>
  <c r="AE116" i="9"/>
  <c r="AF116" i="9"/>
  <c r="AG116" i="9"/>
  <c r="AH116" i="9"/>
  <c r="AI116" i="9"/>
  <c r="AJ116" i="9"/>
  <c r="AK116" i="9"/>
  <c r="AL116" i="9"/>
  <c r="AM116" i="9"/>
  <c r="AN116" i="9"/>
  <c r="AO116" i="9"/>
  <c r="AB116" i="9"/>
  <c r="AC115" i="9"/>
  <c r="AD115" i="9"/>
  <c r="AE115" i="9"/>
  <c r="AF115" i="9"/>
  <c r="AG115" i="9"/>
  <c r="AH115" i="9"/>
  <c r="AI115" i="9"/>
  <c r="AJ115" i="9"/>
  <c r="AK115" i="9"/>
  <c r="AL115" i="9"/>
  <c r="AM115" i="9"/>
  <c r="AN115" i="9"/>
  <c r="AO115" i="9"/>
  <c r="AB115" i="9"/>
  <c r="AC113" i="9"/>
  <c r="AD113" i="9"/>
  <c r="AE113" i="9"/>
  <c r="AF113" i="9"/>
  <c r="AG113" i="9"/>
  <c r="AH113" i="9"/>
  <c r="AI113" i="9"/>
  <c r="AJ113" i="9"/>
  <c r="AK113" i="9"/>
  <c r="AL113" i="9"/>
  <c r="AM113" i="9"/>
  <c r="AN113" i="9"/>
  <c r="AO113" i="9"/>
  <c r="AB113" i="9"/>
  <c r="AC112" i="9"/>
  <c r="AD112" i="9"/>
  <c r="AE112" i="9"/>
  <c r="AF112" i="9"/>
  <c r="AG112" i="9"/>
  <c r="AH112" i="9"/>
  <c r="AI112" i="9"/>
  <c r="AJ112" i="9"/>
  <c r="AK112" i="9"/>
  <c r="AL112" i="9"/>
  <c r="AM112" i="9"/>
  <c r="AN112" i="9"/>
  <c r="AO112" i="9"/>
  <c r="AB112" i="9"/>
  <c r="AC108" i="9"/>
  <c r="AD108" i="9"/>
  <c r="AE108" i="9"/>
  <c r="AF108" i="9"/>
  <c r="AG108" i="9"/>
  <c r="AH108" i="9"/>
  <c r="AI108" i="9"/>
  <c r="AJ108" i="9"/>
  <c r="AK108" i="9"/>
  <c r="AL108" i="9"/>
  <c r="AM108" i="9"/>
  <c r="AN108" i="9"/>
  <c r="AO108" i="9"/>
  <c r="AB108" i="9"/>
  <c r="AC107" i="9"/>
  <c r="AD107" i="9"/>
  <c r="AE107" i="9"/>
  <c r="AF107" i="9"/>
  <c r="AG107" i="9"/>
  <c r="AH107" i="9"/>
  <c r="AI107" i="9"/>
  <c r="AJ107" i="9"/>
  <c r="AK107" i="9"/>
  <c r="AL107" i="9"/>
  <c r="AM107" i="9"/>
  <c r="AN107" i="9"/>
  <c r="AO107" i="9"/>
  <c r="AB107" i="9"/>
  <c r="AC105" i="9"/>
  <c r="AD105" i="9"/>
  <c r="AE105" i="9"/>
  <c r="AF105" i="9"/>
  <c r="AG105" i="9"/>
  <c r="AH105" i="9"/>
  <c r="AI105" i="9"/>
  <c r="AJ105" i="9"/>
  <c r="AK105" i="9"/>
  <c r="AL105" i="9"/>
  <c r="AM105" i="9"/>
  <c r="AN105" i="9"/>
  <c r="AO105" i="9"/>
  <c r="AB105" i="9"/>
  <c r="AC104" i="9"/>
  <c r="AD104" i="9"/>
  <c r="AE104" i="9"/>
  <c r="AF104" i="9"/>
  <c r="AG104" i="9"/>
  <c r="AH104" i="9"/>
  <c r="AI104" i="9"/>
  <c r="AJ104" i="9"/>
  <c r="AK104" i="9"/>
  <c r="AL104" i="9"/>
  <c r="AM104" i="9"/>
  <c r="AN104" i="9"/>
  <c r="AO104" i="9"/>
  <c r="AB104" i="9"/>
  <c r="AC100" i="9"/>
  <c r="AD100" i="9"/>
  <c r="AE100" i="9"/>
  <c r="AF100" i="9"/>
  <c r="AG100" i="9"/>
  <c r="AH100" i="9"/>
  <c r="AI100" i="9"/>
  <c r="AJ100" i="9"/>
  <c r="AK100" i="9"/>
  <c r="AL100" i="9"/>
  <c r="AM100" i="9"/>
  <c r="AN100" i="9"/>
  <c r="AO100" i="9"/>
  <c r="AB100" i="9"/>
  <c r="AC99" i="9"/>
  <c r="AD99" i="9"/>
  <c r="AE99" i="9"/>
  <c r="AF99" i="9"/>
  <c r="AG99" i="9"/>
  <c r="AH99" i="9"/>
  <c r="AI99" i="9"/>
  <c r="AJ99" i="9"/>
  <c r="AK99" i="9"/>
  <c r="AL99" i="9"/>
  <c r="AM99" i="9"/>
  <c r="AN99" i="9"/>
  <c r="AO99" i="9"/>
  <c r="AB99" i="9"/>
  <c r="AC97" i="9"/>
  <c r="AD97" i="9"/>
  <c r="AE97" i="9"/>
  <c r="AF97" i="9"/>
  <c r="AG97" i="9"/>
  <c r="AH97" i="9"/>
  <c r="AI97" i="9"/>
  <c r="AJ97" i="9"/>
  <c r="AK97" i="9"/>
  <c r="AL97" i="9"/>
  <c r="AM97" i="9"/>
  <c r="AN97" i="9"/>
  <c r="AO97" i="9"/>
  <c r="AB97" i="9"/>
  <c r="AC96" i="9"/>
  <c r="AD96" i="9"/>
  <c r="AE96" i="9"/>
  <c r="AF96" i="9"/>
  <c r="AG96" i="9"/>
  <c r="AH96" i="9"/>
  <c r="AI96" i="9"/>
  <c r="AJ96" i="9"/>
  <c r="AK96" i="9"/>
  <c r="AL96" i="9"/>
  <c r="AM96" i="9"/>
  <c r="AN96" i="9"/>
  <c r="AO96" i="9"/>
  <c r="AB96" i="9"/>
  <c r="AC92" i="9"/>
  <c r="AD92" i="9"/>
  <c r="AE92" i="9"/>
  <c r="AF92" i="9"/>
  <c r="AG92" i="9"/>
  <c r="AH92" i="9"/>
  <c r="AI92" i="9"/>
  <c r="AJ92" i="9"/>
  <c r="AK92" i="9"/>
  <c r="AL92" i="9"/>
  <c r="AM92" i="9"/>
  <c r="AN92" i="9"/>
  <c r="AO92" i="9"/>
  <c r="AB92" i="9"/>
  <c r="AC91" i="9"/>
  <c r="AD91" i="9"/>
  <c r="AE91" i="9"/>
  <c r="AF91" i="9"/>
  <c r="AG91" i="9"/>
  <c r="AH91" i="9"/>
  <c r="AI91" i="9"/>
  <c r="AJ91" i="9"/>
  <c r="AK91" i="9"/>
  <c r="AL91" i="9"/>
  <c r="AM91" i="9"/>
  <c r="AN91" i="9"/>
  <c r="AO91" i="9"/>
  <c r="AB91" i="9"/>
  <c r="AC89" i="9"/>
  <c r="AD89" i="9"/>
  <c r="AE89" i="9"/>
  <c r="AF89" i="9"/>
  <c r="AG89" i="9"/>
  <c r="AH89" i="9"/>
  <c r="AI89" i="9"/>
  <c r="AJ89" i="9"/>
  <c r="AK89" i="9"/>
  <c r="AL89" i="9"/>
  <c r="AM89" i="9"/>
  <c r="AN89" i="9"/>
  <c r="AO89" i="9"/>
  <c r="AB89" i="9"/>
  <c r="AC88" i="9"/>
  <c r="AD88" i="9"/>
  <c r="AE88" i="9"/>
  <c r="AF88" i="9"/>
  <c r="AG88" i="9"/>
  <c r="AH88" i="9"/>
  <c r="AI88" i="9"/>
  <c r="AJ88" i="9"/>
  <c r="AK88" i="9"/>
  <c r="AL88" i="9"/>
  <c r="AM88" i="9"/>
  <c r="AN88" i="9"/>
  <c r="AO88" i="9"/>
  <c r="AB88" i="9"/>
  <c r="AC84" i="9"/>
  <c r="AD84" i="9"/>
  <c r="AE84" i="9"/>
  <c r="AF84" i="9"/>
  <c r="AG84" i="9"/>
  <c r="AH84" i="9"/>
  <c r="AI84" i="9"/>
  <c r="AJ84" i="9"/>
  <c r="AK84" i="9"/>
  <c r="AL84" i="9"/>
  <c r="AM84" i="9"/>
  <c r="AN84" i="9"/>
  <c r="AO84" i="9"/>
  <c r="AB84" i="9"/>
  <c r="AC83" i="9"/>
  <c r="AD83" i="9"/>
  <c r="AE83" i="9"/>
  <c r="AF83" i="9"/>
  <c r="AG83" i="9"/>
  <c r="AH83" i="9"/>
  <c r="AI83" i="9"/>
  <c r="AJ83" i="9"/>
  <c r="AK83" i="9"/>
  <c r="AL83" i="9"/>
  <c r="AM83" i="9"/>
  <c r="AN83" i="9"/>
  <c r="AO83" i="9"/>
  <c r="AB83" i="9"/>
  <c r="AC81" i="9"/>
  <c r="AD81" i="9"/>
  <c r="AE81" i="9"/>
  <c r="AF81" i="9"/>
  <c r="AG81" i="9"/>
  <c r="AH81" i="9"/>
  <c r="AI81" i="9"/>
  <c r="AJ81" i="9"/>
  <c r="AK81" i="9"/>
  <c r="AL81" i="9"/>
  <c r="AM81" i="9"/>
  <c r="AN81" i="9"/>
  <c r="AO81" i="9"/>
  <c r="AB81" i="9"/>
  <c r="AC80" i="9"/>
  <c r="AD80" i="9"/>
  <c r="AE80" i="9"/>
  <c r="AF80" i="9"/>
  <c r="AG80" i="9"/>
  <c r="AH80" i="9"/>
  <c r="AI80" i="9"/>
  <c r="AJ80" i="9"/>
  <c r="AK80" i="9"/>
  <c r="AL80" i="9"/>
  <c r="AM80" i="9"/>
  <c r="AN80" i="9"/>
  <c r="AO80" i="9"/>
  <c r="AB80" i="9"/>
  <c r="AC76" i="9"/>
  <c r="AD76" i="9"/>
  <c r="AE76" i="9"/>
  <c r="AF76" i="9"/>
  <c r="AG76" i="9"/>
  <c r="AH76" i="9"/>
  <c r="AI76" i="9"/>
  <c r="AJ76" i="9"/>
  <c r="AK76" i="9"/>
  <c r="AL76" i="9"/>
  <c r="AM76" i="9"/>
  <c r="AN76" i="9"/>
  <c r="AO76" i="9"/>
  <c r="AB76" i="9"/>
  <c r="AC75" i="9"/>
  <c r="AD75" i="9"/>
  <c r="AE75" i="9"/>
  <c r="AF75" i="9"/>
  <c r="AG75" i="9"/>
  <c r="AH75" i="9"/>
  <c r="AI75" i="9"/>
  <c r="AJ75" i="9"/>
  <c r="AK75" i="9"/>
  <c r="AL75" i="9"/>
  <c r="AM75" i="9"/>
  <c r="AN75" i="9"/>
  <c r="AO75" i="9"/>
  <c r="AB75" i="9"/>
  <c r="AC73" i="9"/>
  <c r="AD73" i="9"/>
  <c r="AE73" i="9"/>
  <c r="AF73" i="9"/>
  <c r="AG73" i="9"/>
  <c r="AH73" i="9"/>
  <c r="AI73" i="9"/>
  <c r="AJ73" i="9"/>
  <c r="AK73" i="9"/>
  <c r="AL73" i="9"/>
  <c r="AM73" i="9"/>
  <c r="AN73" i="9"/>
  <c r="AO73" i="9"/>
  <c r="AB73" i="9"/>
  <c r="AC72" i="9"/>
  <c r="AD72" i="9"/>
  <c r="AE72" i="9"/>
  <c r="AF72" i="9"/>
  <c r="AG72" i="9"/>
  <c r="AH72" i="9"/>
  <c r="AI72" i="9"/>
  <c r="AJ72" i="9"/>
  <c r="AK72" i="9"/>
  <c r="AL72" i="9"/>
  <c r="AM72" i="9"/>
  <c r="AN72" i="9"/>
  <c r="AO72" i="9"/>
  <c r="AB72" i="9"/>
  <c r="AC68" i="9"/>
  <c r="AD68" i="9"/>
  <c r="AE68" i="9"/>
  <c r="AF68" i="9"/>
  <c r="AG68" i="9"/>
  <c r="AH68" i="9"/>
  <c r="AI68" i="9"/>
  <c r="AJ68" i="9"/>
  <c r="AK68" i="9"/>
  <c r="AL68" i="9"/>
  <c r="AM68" i="9"/>
  <c r="AN68" i="9"/>
  <c r="AO68" i="9"/>
  <c r="AB68" i="9"/>
  <c r="AC67" i="9"/>
  <c r="AD67" i="9"/>
  <c r="AE67" i="9"/>
  <c r="AF67" i="9"/>
  <c r="AG67" i="9"/>
  <c r="AH67" i="9"/>
  <c r="AI67" i="9"/>
  <c r="AJ67" i="9"/>
  <c r="AK67" i="9"/>
  <c r="AL67" i="9"/>
  <c r="AM67" i="9"/>
  <c r="AN67" i="9"/>
  <c r="AO67" i="9"/>
  <c r="AB67" i="9"/>
  <c r="AC65" i="9"/>
  <c r="AD65" i="9"/>
  <c r="AE65" i="9"/>
  <c r="AF65" i="9"/>
  <c r="AG65" i="9"/>
  <c r="AH65" i="9"/>
  <c r="AI65" i="9"/>
  <c r="AJ65" i="9"/>
  <c r="AK65" i="9"/>
  <c r="AL65" i="9"/>
  <c r="AM65" i="9"/>
  <c r="AN65" i="9"/>
  <c r="AO65" i="9"/>
  <c r="AB65" i="9"/>
  <c r="AC64" i="9"/>
  <c r="AD64" i="9"/>
  <c r="AE64" i="9"/>
  <c r="AF64" i="9"/>
  <c r="AG64" i="9"/>
  <c r="AH64" i="9"/>
  <c r="AI64" i="9"/>
  <c r="AJ64" i="9"/>
  <c r="AK64" i="9"/>
  <c r="AL64" i="9"/>
  <c r="AM64" i="9"/>
  <c r="AN64" i="9"/>
  <c r="AO64" i="9"/>
  <c r="AB64" i="9"/>
  <c r="AC60" i="9"/>
  <c r="AD60" i="9"/>
  <c r="AE60" i="9"/>
  <c r="AF60" i="9"/>
  <c r="AG60" i="9"/>
  <c r="AH60" i="9"/>
  <c r="AI60" i="9"/>
  <c r="AJ60" i="9"/>
  <c r="AK60" i="9"/>
  <c r="AL60" i="9"/>
  <c r="AM60" i="9"/>
  <c r="AN60" i="9"/>
  <c r="AO60" i="9"/>
  <c r="AB60" i="9"/>
  <c r="AC59" i="9"/>
  <c r="AD59" i="9"/>
  <c r="AE59" i="9"/>
  <c r="AF59" i="9"/>
  <c r="AG59" i="9"/>
  <c r="AH59" i="9"/>
  <c r="AI59" i="9"/>
  <c r="AJ59" i="9"/>
  <c r="AK59" i="9"/>
  <c r="AL59" i="9"/>
  <c r="AM59" i="9"/>
  <c r="AN59" i="9"/>
  <c r="AO59" i="9"/>
  <c r="AB59" i="9"/>
  <c r="AC57" i="9"/>
  <c r="AD57" i="9"/>
  <c r="AE57" i="9"/>
  <c r="AF57" i="9"/>
  <c r="AG57" i="9"/>
  <c r="AH57" i="9"/>
  <c r="AI57" i="9"/>
  <c r="AJ57" i="9"/>
  <c r="AK57" i="9"/>
  <c r="AL57" i="9"/>
  <c r="AM57" i="9"/>
  <c r="AN57" i="9"/>
  <c r="AO57" i="9"/>
  <c r="AB57" i="9"/>
  <c r="AC56" i="9"/>
  <c r="AD56" i="9"/>
  <c r="AE56" i="9"/>
  <c r="AF56" i="9"/>
  <c r="AG56" i="9"/>
  <c r="AH56" i="9"/>
  <c r="AI56" i="9"/>
  <c r="AJ56" i="9"/>
  <c r="AK56" i="9"/>
  <c r="AL56" i="9"/>
  <c r="AM56" i="9"/>
  <c r="AN56" i="9"/>
  <c r="AO56" i="9"/>
  <c r="AB56" i="9"/>
  <c r="AB48" i="9"/>
  <c r="AC52" i="9"/>
  <c r="AD52" i="9"/>
  <c r="AE52" i="9"/>
  <c r="AF52" i="9"/>
  <c r="AG52" i="9"/>
  <c r="AH52" i="9"/>
  <c r="AI52" i="9"/>
  <c r="AJ52" i="9"/>
  <c r="AK52" i="9"/>
  <c r="AL52" i="9"/>
  <c r="AM52" i="9"/>
  <c r="AN52" i="9"/>
  <c r="AO52" i="9"/>
  <c r="AB52" i="9"/>
  <c r="AC51" i="9"/>
  <c r="AD51" i="9"/>
  <c r="AE51" i="9"/>
  <c r="AF51" i="9"/>
  <c r="AG51" i="9"/>
  <c r="AH51" i="9"/>
  <c r="AI51" i="9"/>
  <c r="AJ51" i="9"/>
  <c r="AK51" i="9"/>
  <c r="AL51" i="9"/>
  <c r="AM51" i="9"/>
  <c r="AN51" i="9"/>
  <c r="AO51" i="9"/>
  <c r="AB51" i="9"/>
  <c r="AC49" i="9"/>
  <c r="AD49" i="9"/>
  <c r="AE49" i="9"/>
  <c r="AF49" i="9"/>
  <c r="AG49" i="9"/>
  <c r="AH49" i="9"/>
  <c r="AI49" i="9"/>
  <c r="AJ49" i="9"/>
  <c r="AK49" i="9"/>
  <c r="AL49" i="9"/>
  <c r="AM49" i="9"/>
  <c r="AN49" i="9"/>
  <c r="AO49" i="9"/>
  <c r="AB49" i="9"/>
  <c r="AC48" i="9"/>
  <c r="AD48" i="9"/>
  <c r="AE48" i="9"/>
  <c r="AF48" i="9"/>
  <c r="AG48" i="9"/>
  <c r="AH48" i="9"/>
  <c r="AI48" i="9"/>
  <c r="AJ48" i="9"/>
  <c r="AK48" i="9"/>
  <c r="AL48" i="9"/>
  <c r="AM48" i="9"/>
  <c r="AN48" i="9"/>
  <c r="AO48" i="9"/>
  <c r="AC44" i="9"/>
  <c r="AD44" i="9"/>
  <c r="AE44" i="9"/>
  <c r="AF44" i="9"/>
  <c r="AG44" i="9"/>
  <c r="AH44" i="9"/>
  <c r="AI44" i="9"/>
  <c r="AJ44" i="9"/>
  <c r="AK44" i="9"/>
  <c r="AL44" i="9"/>
  <c r="AM44" i="9"/>
  <c r="AN44" i="9"/>
  <c r="AO44" i="9"/>
  <c r="AB44" i="9"/>
  <c r="AC43" i="9"/>
  <c r="AD43" i="9"/>
  <c r="AE43" i="9"/>
  <c r="AF43" i="9"/>
  <c r="AG43" i="9"/>
  <c r="AH43" i="9"/>
  <c r="AI43" i="9"/>
  <c r="AJ43" i="9"/>
  <c r="AK43" i="9"/>
  <c r="AL43" i="9"/>
  <c r="AM43" i="9"/>
  <c r="AN43" i="9"/>
  <c r="AO43" i="9"/>
  <c r="AB43" i="9"/>
  <c r="AC41" i="9"/>
  <c r="AD41" i="9"/>
  <c r="AE41" i="9"/>
  <c r="AF41" i="9"/>
  <c r="AG41" i="9"/>
  <c r="AH41" i="9"/>
  <c r="AI41" i="9"/>
  <c r="AJ41" i="9"/>
  <c r="AK41" i="9"/>
  <c r="AL41" i="9"/>
  <c r="AM41" i="9"/>
  <c r="AN41" i="9"/>
  <c r="AO41" i="9"/>
  <c r="AB41" i="9"/>
  <c r="AC40" i="9"/>
  <c r="AD40" i="9"/>
  <c r="AE40" i="9"/>
  <c r="AF40" i="9"/>
  <c r="AG40" i="9"/>
  <c r="AH40" i="9"/>
  <c r="AI40" i="9"/>
  <c r="AJ40" i="9"/>
  <c r="AK40" i="9"/>
  <c r="AL40" i="9"/>
  <c r="AM40" i="9"/>
  <c r="AN40" i="9"/>
  <c r="AO40" i="9"/>
  <c r="AB40" i="9"/>
  <c r="AC36" i="9"/>
  <c r="AD36" i="9"/>
  <c r="AE36" i="9"/>
  <c r="AF36" i="9"/>
  <c r="AG36" i="9"/>
  <c r="AH36" i="9"/>
  <c r="AI36" i="9"/>
  <c r="AJ36" i="9"/>
  <c r="AK36" i="9"/>
  <c r="AL36" i="9"/>
  <c r="AM36" i="9"/>
  <c r="AN36" i="9"/>
  <c r="AO36" i="9"/>
  <c r="AB36" i="9"/>
  <c r="AC35" i="9"/>
  <c r="AD35" i="9"/>
  <c r="AE35" i="9"/>
  <c r="AF35" i="9"/>
  <c r="AG35" i="9"/>
  <c r="AH35" i="9"/>
  <c r="AI35" i="9"/>
  <c r="AJ35" i="9"/>
  <c r="AK35" i="9"/>
  <c r="AL35" i="9"/>
  <c r="AM35" i="9"/>
  <c r="AN35" i="9"/>
  <c r="AO35" i="9"/>
  <c r="AB35" i="9"/>
  <c r="AC33" i="9"/>
  <c r="AD33" i="9"/>
  <c r="AE33" i="9"/>
  <c r="AF33" i="9"/>
  <c r="AG33" i="9"/>
  <c r="AH33" i="9"/>
  <c r="AI33" i="9"/>
  <c r="AJ33" i="9"/>
  <c r="AK33" i="9"/>
  <c r="AL33" i="9"/>
  <c r="AM33" i="9"/>
  <c r="AN33" i="9"/>
  <c r="AO33" i="9"/>
  <c r="AB33" i="9"/>
  <c r="AC32" i="9"/>
  <c r="AD32" i="9"/>
  <c r="AE32" i="9"/>
  <c r="AF32" i="9"/>
  <c r="AG32" i="9"/>
  <c r="AH32" i="9"/>
  <c r="AI32" i="9"/>
  <c r="AJ32" i="9"/>
  <c r="AK32" i="9"/>
  <c r="AL32" i="9"/>
  <c r="AM32" i="9"/>
  <c r="AN32" i="9"/>
  <c r="AO32" i="9"/>
  <c r="AB32" i="9"/>
  <c r="AC28" i="9"/>
  <c r="AD28" i="9"/>
  <c r="AE28" i="9"/>
  <c r="AF28" i="9"/>
  <c r="AG28" i="9"/>
  <c r="AH28" i="9"/>
  <c r="AI28" i="9"/>
  <c r="AJ28" i="9"/>
  <c r="AK28" i="9"/>
  <c r="AL28" i="9"/>
  <c r="AM28" i="9"/>
  <c r="AN28" i="9"/>
  <c r="AO28" i="9"/>
  <c r="AB28" i="9"/>
  <c r="AC27" i="9"/>
  <c r="AD27" i="9"/>
  <c r="AE27" i="9"/>
  <c r="AF27" i="9"/>
  <c r="AG27" i="9"/>
  <c r="AH27" i="9"/>
  <c r="AI27" i="9"/>
  <c r="AJ27" i="9"/>
  <c r="AK27" i="9"/>
  <c r="AL27" i="9"/>
  <c r="AM27" i="9"/>
  <c r="AN27" i="9"/>
  <c r="AO27" i="9"/>
  <c r="AB27" i="9"/>
  <c r="AC25" i="9"/>
  <c r="AD25" i="9"/>
  <c r="AE25" i="9"/>
  <c r="AF25" i="9"/>
  <c r="AG25" i="9"/>
  <c r="AH25" i="9"/>
  <c r="AI25" i="9"/>
  <c r="AJ25" i="9"/>
  <c r="AK25" i="9"/>
  <c r="AL25" i="9"/>
  <c r="AM25" i="9"/>
  <c r="AN25" i="9"/>
  <c r="AO25" i="9"/>
  <c r="AB25" i="9"/>
  <c r="AC24" i="9"/>
  <c r="AD24" i="9"/>
  <c r="AE24" i="9"/>
  <c r="AF24" i="9"/>
  <c r="AG24" i="9"/>
  <c r="AH24" i="9"/>
  <c r="AI24" i="9"/>
  <c r="AJ24" i="9"/>
  <c r="AK24" i="9"/>
  <c r="AL24" i="9"/>
  <c r="AM24" i="9"/>
  <c r="AN24" i="9"/>
  <c r="AO24" i="9"/>
  <c r="AB24" i="9"/>
  <c r="AC20" i="9"/>
  <c r="AD20" i="9"/>
  <c r="AE20" i="9"/>
  <c r="AF20" i="9"/>
  <c r="AG20" i="9"/>
  <c r="AH20" i="9"/>
  <c r="AI20" i="9"/>
  <c r="AJ20" i="9"/>
  <c r="AK20" i="9"/>
  <c r="AL20" i="9"/>
  <c r="AM20" i="9"/>
  <c r="AN20" i="9"/>
  <c r="AO20" i="9"/>
  <c r="AB20" i="9"/>
  <c r="AC17" i="9"/>
  <c r="AD17" i="9"/>
  <c r="AE17" i="9"/>
  <c r="AF17" i="9"/>
  <c r="AG17" i="9"/>
  <c r="AH17" i="9"/>
  <c r="AI17" i="9"/>
  <c r="AJ17" i="9"/>
  <c r="AK17" i="9"/>
  <c r="AL17" i="9"/>
  <c r="AM17" i="9"/>
  <c r="AN17" i="9"/>
  <c r="AO17" i="9"/>
  <c r="AB17" i="9"/>
  <c r="AC19" i="9"/>
  <c r="AD19" i="9"/>
  <c r="AE19" i="9"/>
  <c r="AF19" i="9"/>
  <c r="AG19" i="9"/>
  <c r="AH19" i="9"/>
  <c r="AI19" i="9"/>
  <c r="AJ19" i="9"/>
  <c r="AK19" i="9"/>
  <c r="AL19" i="9"/>
  <c r="AM19" i="9"/>
  <c r="AN19" i="9"/>
  <c r="AO19" i="9"/>
  <c r="AB19" i="9"/>
  <c r="AC16" i="9"/>
  <c r="AD16" i="9"/>
  <c r="AE16" i="9"/>
  <c r="AF16" i="9"/>
  <c r="AG16" i="9"/>
  <c r="AH16" i="9"/>
  <c r="AI16" i="9"/>
  <c r="AJ16" i="9"/>
  <c r="AK16" i="9"/>
  <c r="AL16" i="9"/>
  <c r="AM16" i="9"/>
  <c r="AN16" i="9"/>
  <c r="AO16" i="9"/>
  <c r="AB16" i="9"/>
  <c r="M19" i="9"/>
  <c r="N19" i="9"/>
  <c r="O19" i="9"/>
  <c r="P19" i="9"/>
  <c r="Q19" i="9"/>
  <c r="R19" i="9"/>
  <c r="S19" i="9"/>
  <c r="T19" i="9"/>
  <c r="U19" i="9"/>
  <c r="V19" i="9"/>
  <c r="W19" i="9"/>
  <c r="X19" i="9"/>
  <c r="Y19" i="9"/>
  <c r="M20" i="9"/>
  <c r="N20" i="9"/>
  <c r="O20" i="9"/>
  <c r="P20" i="9"/>
  <c r="Q20" i="9"/>
  <c r="R20" i="9"/>
  <c r="S20" i="9"/>
  <c r="T20" i="9"/>
  <c r="U20" i="9"/>
  <c r="V20" i="9"/>
  <c r="W20" i="9"/>
  <c r="X20" i="9"/>
  <c r="Y20" i="9"/>
  <c r="K20" i="9"/>
  <c r="M16" i="9"/>
  <c r="N16" i="9"/>
  <c r="O16" i="9"/>
  <c r="P16" i="9"/>
  <c r="Q16" i="9"/>
  <c r="R16" i="9"/>
  <c r="S16" i="9"/>
  <c r="T16" i="9"/>
  <c r="U16" i="9"/>
  <c r="V16" i="9"/>
  <c r="W16" i="9"/>
  <c r="X16" i="9"/>
  <c r="Y16" i="9"/>
  <c r="M17" i="9"/>
  <c r="N17" i="9"/>
  <c r="O17" i="9"/>
  <c r="P17" i="9"/>
  <c r="Q17" i="9"/>
  <c r="R17" i="9"/>
  <c r="S17" i="9"/>
  <c r="T17" i="9"/>
  <c r="U17" i="9"/>
  <c r="V17" i="9"/>
  <c r="W17" i="9"/>
  <c r="X17" i="9"/>
  <c r="Y17" i="9"/>
  <c r="K17" i="9"/>
  <c r="K16" i="9"/>
  <c r="C24" i="22" l="1"/>
  <c r="C21" i="22"/>
  <c r="C20" i="22"/>
  <c r="C19" i="22"/>
  <c r="C14" i="22"/>
  <c r="C10" i="22"/>
  <c r="C11" i="22" s="1"/>
  <c r="C12" i="22" l="1"/>
  <c r="E157" i="4"/>
  <c r="D157" i="4"/>
  <c r="K126" i="17"/>
  <c r="J126" i="17"/>
  <c r="I126" i="17"/>
  <c r="H126" i="17"/>
  <c r="G126" i="17"/>
  <c r="E126" i="17"/>
  <c r="P244" i="4"/>
  <c r="D162" i="4"/>
  <c r="E162" i="4"/>
  <c r="P258" i="4"/>
  <c r="G268" i="4"/>
  <c r="F235" i="17" s="1"/>
  <c r="P257" i="4"/>
  <c r="P243" i="4"/>
  <c r="D243" i="4" s="1"/>
  <c r="D142" i="4"/>
  <c r="D148" i="4" s="1"/>
  <c r="E142" i="4"/>
  <c r="E143" i="4" s="1"/>
  <c r="F142" i="4"/>
  <c r="F143" i="4" s="1"/>
  <c r="AB64" i="1" s="1"/>
  <c r="G142" i="4"/>
  <c r="C142" i="4"/>
  <c r="C143" i="4" s="1"/>
  <c r="I27" i="1"/>
  <c r="Q243" i="4" l="1"/>
  <c r="C15" i="22"/>
  <c r="C18" i="22"/>
  <c r="C22" i="22" s="1"/>
  <c r="C25" i="22" s="1"/>
  <c r="AB62" i="1"/>
  <c r="G225" i="17"/>
  <c r="H225" i="17"/>
  <c r="I225" i="17"/>
  <c r="J225" i="17"/>
  <c r="G226" i="17"/>
  <c r="H226" i="17"/>
  <c r="I226" i="17"/>
  <c r="J226" i="17"/>
  <c r="F225" i="17"/>
  <c r="G215" i="17"/>
  <c r="H215" i="17"/>
  <c r="I215" i="17"/>
  <c r="J215" i="17"/>
  <c r="G214" i="17"/>
  <c r="H214" i="17"/>
  <c r="I214" i="17"/>
  <c r="J214" i="17"/>
  <c r="F214" i="17"/>
  <c r="E45" i="16" l="1"/>
  <c r="E43" i="16"/>
  <c r="P240" i="4" l="1"/>
  <c r="D240" i="4" s="1"/>
  <c r="C212" i="17"/>
  <c r="C11" i="16"/>
  <c r="P254" i="4"/>
  <c r="C213" i="17" l="1"/>
  <c r="E213" i="17" s="1"/>
  <c r="C211" i="17"/>
  <c r="P253" i="4"/>
  <c r="D253" i="4" s="1"/>
  <c r="C220" i="17"/>
  <c r="C10" i="21"/>
  <c r="D10" i="21" s="1"/>
  <c r="G10" i="21"/>
  <c r="C24" i="16"/>
  <c r="R16" i="21"/>
  <c r="R17" i="21" s="1"/>
  <c r="R18" i="21" s="1"/>
  <c r="R19" i="21" s="1"/>
  <c r="R20" i="21" s="1"/>
  <c r="R21" i="21" s="1"/>
  <c r="R22" i="21" s="1"/>
  <c r="R23" i="21" s="1"/>
  <c r="R24" i="21" s="1"/>
  <c r="R25" i="21" s="1"/>
  <c r="D5" i="21"/>
  <c r="C20" i="16" s="1"/>
  <c r="E211" i="17" l="1"/>
  <c r="T24" i="18" s="1"/>
  <c r="D211" i="17"/>
  <c r="N253" i="4"/>
  <c r="N240" i="4"/>
  <c r="C32" i="16"/>
  <c r="F4" i="17"/>
  <c r="H24" i="18" l="1"/>
  <c r="P266" i="4" l="1"/>
  <c r="P264" i="4"/>
  <c r="P267" i="4"/>
  <c r="D267" i="4" s="1"/>
  <c r="P260" i="4"/>
  <c r="P268" i="4"/>
  <c r="P261" i="4"/>
  <c r="E261" i="4" s="1"/>
  <c r="E228" i="17" s="1"/>
  <c r="P262" i="4"/>
  <c r="P263" i="4"/>
  <c r="E263" i="4" s="1"/>
  <c r="E230" i="17" s="1"/>
  <c r="P259" i="4"/>
  <c r="D254" i="4" s="1"/>
  <c r="P265" i="4"/>
  <c r="E265" i="4" s="1"/>
  <c r="E232" i="17" s="1"/>
  <c r="C234" i="17"/>
  <c r="C232" i="17"/>
  <c r="C230" i="17"/>
  <c r="C228" i="17"/>
  <c r="C224" i="17"/>
  <c r="C226" i="17" s="1"/>
  <c r="C219" i="17"/>
  <c r="C218" i="17"/>
  <c r="C217" i="17"/>
  <c r="C216" i="17"/>
  <c r="C214" i="17"/>
  <c r="E130" i="17"/>
  <c r="E131" i="17"/>
  <c r="C223" i="17" s="1"/>
  <c r="E128" i="17"/>
  <c r="F128" i="17"/>
  <c r="K125" i="17"/>
  <c r="J125" i="17"/>
  <c r="I125" i="17"/>
  <c r="H125" i="17"/>
  <c r="G125" i="17"/>
  <c r="F125" i="17"/>
  <c r="E125" i="17"/>
  <c r="C125" i="17"/>
  <c r="K124" i="17"/>
  <c r="J124" i="17"/>
  <c r="I124" i="17"/>
  <c r="H124" i="17"/>
  <c r="G124" i="17"/>
  <c r="F124" i="17"/>
  <c r="E124" i="17"/>
  <c r="D124" i="17"/>
  <c r="C124" i="17"/>
  <c r="K123" i="17"/>
  <c r="J123" i="17"/>
  <c r="I123" i="17"/>
  <c r="H123" i="17"/>
  <c r="G123" i="17"/>
  <c r="F123" i="17"/>
  <c r="E123" i="17"/>
  <c r="D123" i="17"/>
  <c r="C123" i="17"/>
  <c r="K122" i="17"/>
  <c r="J122" i="17"/>
  <c r="I122" i="17"/>
  <c r="H122" i="17"/>
  <c r="G122" i="17"/>
  <c r="F122" i="17"/>
  <c r="E122" i="17"/>
  <c r="D122" i="17"/>
  <c r="C122" i="17"/>
  <c r="K121" i="17"/>
  <c r="J121" i="17"/>
  <c r="I121" i="17"/>
  <c r="H121" i="17"/>
  <c r="G121" i="17"/>
  <c r="F121" i="17"/>
  <c r="E121" i="17"/>
  <c r="D121" i="17"/>
  <c r="C121" i="17"/>
  <c r="K120" i="17"/>
  <c r="J120" i="17"/>
  <c r="I120" i="17"/>
  <c r="H120" i="17"/>
  <c r="G120" i="17"/>
  <c r="F120" i="17"/>
  <c r="E120" i="17"/>
  <c r="D120" i="17"/>
  <c r="C120" i="17"/>
  <c r="K119" i="17"/>
  <c r="J119" i="17"/>
  <c r="I119" i="17"/>
  <c r="H119" i="17"/>
  <c r="G119" i="17"/>
  <c r="F119" i="17"/>
  <c r="E119" i="17"/>
  <c r="D119" i="17"/>
  <c r="C119" i="17"/>
  <c r="K118" i="17"/>
  <c r="J118" i="17"/>
  <c r="I118" i="17"/>
  <c r="H118" i="17"/>
  <c r="G118" i="17"/>
  <c r="F118" i="17"/>
  <c r="E118" i="17"/>
  <c r="D118" i="17"/>
  <c r="C118" i="17"/>
  <c r="K117" i="17"/>
  <c r="J117" i="17"/>
  <c r="I117" i="17"/>
  <c r="H117" i="17"/>
  <c r="G117" i="17"/>
  <c r="F117" i="17"/>
  <c r="E117" i="17"/>
  <c r="D117" i="17"/>
  <c r="C117" i="17"/>
  <c r="K116" i="17"/>
  <c r="J116" i="17"/>
  <c r="I116" i="17"/>
  <c r="H116" i="17"/>
  <c r="G116" i="17"/>
  <c r="F116" i="17"/>
  <c r="E116" i="17"/>
  <c r="D116" i="17"/>
  <c r="C116" i="17"/>
  <c r="K115" i="17"/>
  <c r="J115" i="17"/>
  <c r="I115" i="17"/>
  <c r="H115" i="17"/>
  <c r="G115" i="17"/>
  <c r="F115" i="17"/>
  <c r="E115" i="17"/>
  <c r="D115" i="17"/>
  <c r="C115" i="17"/>
  <c r="K112" i="17"/>
  <c r="J112" i="17"/>
  <c r="I112" i="17"/>
  <c r="H112" i="17"/>
  <c r="G112" i="17"/>
  <c r="F112" i="17"/>
  <c r="E112" i="17"/>
  <c r="D112" i="17"/>
  <c r="C112" i="17"/>
  <c r="K111" i="17"/>
  <c r="J111" i="17"/>
  <c r="I111" i="17"/>
  <c r="H111" i="17"/>
  <c r="G111" i="17"/>
  <c r="F111" i="17"/>
  <c r="E111" i="17"/>
  <c r="D111" i="17"/>
  <c r="C111" i="17"/>
  <c r="K110" i="17"/>
  <c r="J110" i="17"/>
  <c r="I110" i="17"/>
  <c r="H110" i="17"/>
  <c r="G110" i="17"/>
  <c r="F110" i="17"/>
  <c r="E110" i="17"/>
  <c r="D110" i="17"/>
  <c r="C110" i="17"/>
  <c r="K109" i="17"/>
  <c r="J109" i="17"/>
  <c r="I109" i="17"/>
  <c r="H109" i="17"/>
  <c r="G109" i="17"/>
  <c r="F109" i="17"/>
  <c r="E109" i="17"/>
  <c r="D109" i="17"/>
  <c r="C109" i="17"/>
  <c r="K108" i="17"/>
  <c r="J108" i="17"/>
  <c r="I108" i="17"/>
  <c r="H108" i="17"/>
  <c r="G108" i="17"/>
  <c r="F108" i="17"/>
  <c r="E108" i="17"/>
  <c r="D108" i="17"/>
  <c r="C108" i="17"/>
  <c r="K107" i="17"/>
  <c r="J107" i="17"/>
  <c r="I107" i="17"/>
  <c r="H107" i="17"/>
  <c r="G107" i="17"/>
  <c r="F107" i="17"/>
  <c r="E107" i="17"/>
  <c r="D107" i="17"/>
  <c r="C107" i="17"/>
  <c r="K105" i="17"/>
  <c r="J105" i="17"/>
  <c r="I105" i="17"/>
  <c r="H105" i="17"/>
  <c r="G105" i="17"/>
  <c r="F105" i="17"/>
  <c r="E105" i="17"/>
  <c r="D105" i="17"/>
  <c r="C105" i="17"/>
  <c r="H24" i="1"/>
  <c r="G143" i="4" s="1"/>
  <c r="G267" i="4"/>
  <c r="F234" i="17" s="1"/>
  <c r="G266" i="4"/>
  <c r="F233" i="17" s="1"/>
  <c r="G265" i="4"/>
  <c r="F232" i="17" s="1"/>
  <c r="G264" i="4"/>
  <c r="F231" i="17" s="1"/>
  <c r="G263" i="4"/>
  <c r="F230" i="17" s="1"/>
  <c r="G262" i="4"/>
  <c r="F229" i="17" s="1"/>
  <c r="N261" i="4"/>
  <c r="G261" i="4"/>
  <c r="F228" i="17" s="1"/>
  <c r="N260" i="4"/>
  <c r="G260" i="4"/>
  <c r="F227" i="17" s="1"/>
  <c r="N259" i="4"/>
  <c r="G259" i="4"/>
  <c r="F226" i="17" s="1"/>
  <c r="N258" i="4"/>
  <c r="E257" i="4"/>
  <c r="E224" i="17" s="1"/>
  <c r="E24" i="1"/>
  <c r="G251" i="4"/>
  <c r="G250" i="4"/>
  <c r="G249" i="4"/>
  <c r="F219" i="17" s="1"/>
  <c r="G248" i="4"/>
  <c r="F218" i="17" s="1"/>
  <c r="M247" i="4"/>
  <c r="N247" i="4" s="1"/>
  <c r="L247" i="4"/>
  <c r="G247" i="4"/>
  <c r="F217" i="17" s="1"/>
  <c r="M246" i="4"/>
  <c r="N246" i="4" s="1"/>
  <c r="L246" i="4"/>
  <c r="G246" i="4"/>
  <c r="F216" i="17" s="1"/>
  <c r="M245" i="4"/>
  <c r="N245" i="4" s="1"/>
  <c r="L245" i="4"/>
  <c r="G245" i="4"/>
  <c r="F215" i="17" s="1"/>
  <c r="M244" i="4"/>
  <c r="N244" i="4" s="1"/>
  <c r="L244" i="4"/>
  <c r="E243" i="4"/>
  <c r="E214" i="17" s="1"/>
  <c r="E164" i="4"/>
  <c r="D164" i="4"/>
  <c r="E163" i="4"/>
  <c r="D163" i="4"/>
  <c r="E161" i="4"/>
  <c r="D161" i="4"/>
  <c r="E160" i="4"/>
  <c r="D160" i="4"/>
  <c r="E159" i="4"/>
  <c r="D159" i="4"/>
  <c r="E158" i="4"/>
  <c r="D158" i="4"/>
  <c r="E254" i="4" l="1"/>
  <c r="E256" i="4"/>
  <c r="E259" i="4"/>
  <c r="E221" i="17" s="1"/>
  <c r="D256" i="4"/>
  <c r="G128" i="17"/>
  <c r="Q267" i="4"/>
  <c r="C235" i="17"/>
  <c r="E258" i="4"/>
  <c r="E225" i="17" s="1"/>
  <c r="D260" i="4"/>
  <c r="D266" i="4"/>
  <c r="E264" i="4"/>
  <c r="E231" i="17" s="1"/>
  <c r="D262" i="4"/>
  <c r="C215" i="17"/>
  <c r="D257" i="4"/>
  <c r="E267" i="4"/>
  <c r="E234" i="17" s="1"/>
  <c r="D261" i="4"/>
  <c r="C229" i="17"/>
  <c r="C231" i="17"/>
  <c r="C221" i="17"/>
  <c r="C233" i="17"/>
  <c r="C225" i="17"/>
  <c r="E244" i="4"/>
  <c r="D244" i="4"/>
  <c r="D258" i="4"/>
  <c r="D263" i="4"/>
  <c r="D265" i="4"/>
  <c r="I125" i="8"/>
  <c r="I124" i="8"/>
  <c r="I122" i="8"/>
  <c r="I121" i="8"/>
  <c r="I120" i="8"/>
  <c r="I119" i="8"/>
  <c r="I118" i="8"/>
  <c r="I117" i="8"/>
  <c r="I115" i="8"/>
  <c r="I114" i="8"/>
  <c r="I113" i="8"/>
  <c r="I112" i="8"/>
  <c r="I110" i="8"/>
  <c r="I109" i="8"/>
  <c r="I108" i="8"/>
  <c r="I107" i="8"/>
  <c r="I106" i="8"/>
  <c r="I105" i="8"/>
  <c r="I104" i="8"/>
  <c r="I103" i="8"/>
  <c r="I102" i="8"/>
  <c r="I101" i="8"/>
  <c r="I100" i="8"/>
  <c r="I98" i="8"/>
  <c r="I97" i="8"/>
  <c r="I96" i="8"/>
  <c r="I95" i="8"/>
  <c r="I94" i="8"/>
  <c r="I93" i="8"/>
  <c r="I92" i="8"/>
  <c r="I91" i="8"/>
  <c r="I90" i="8"/>
  <c r="I89" i="8"/>
  <c r="I88" i="8"/>
  <c r="I87" i="8"/>
  <c r="I86" i="8"/>
  <c r="I85" i="8"/>
  <c r="I84" i="8"/>
  <c r="I83" i="8"/>
  <c r="I81" i="8"/>
  <c r="I80" i="8"/>
  <c r="I79" i="8"/>
  <c r="I77" i="8"/>
  <c r="I76" i="8"/>
  <c r="I75" i="8"/>
  <c r="I74" i="8"/>
  <c r="I73" i="8"/>
  <c r="I72" i="8"/>
  <c r="I70" i="8"/>
  <c r="I69" i="8"/>
  <c r="I68" i="8"/>
  <c r="I67" i="8"/>
  <c r="I66" i="8"/>
  <c r="I65" i="8"/>
  <c r="I64" i="8"/>
  <c r="I63" i="8"/>
  <c r="I62" i="8"/>
  <c r="I61" i="8"/>
  <c r="I60" i="8"/>
  <c r="I59" i="8"/>
  <c r="I58" i="8"/>
  <c r="I57" i="8"/>
  <c r="I55" i="8"/>
  <c r="I54" i="8"/>
  <c r="I52" i="8"/>
  <c r="I51" i="8"/>
  <c r="I49" i="8"/>
  <c r="I48" i="8"/>
  <c r="I47" i="8"/>
  <c r="I46" i="8"/>
  <c r="I45" i="8"/>
  <c r="I44" i="8"/>
  <c r="I43" i="8"/>
  <c r="I42" i="8"/>
  <c r="I41" i="8"/>
  <c r="I40" i="8"/>
  <c r="I39" i="8"/>
  <c r="I38" i="8"/>
  <c r="I37" i="8"/>
  <c r="I36" i="8"/>
  <c r="I35" i="8"/>
  <c r="I33" i="8"/>
  <c r="I32" i="8"/>
  <c r="I31" i="8"/>
  <c r="I28" i="8"/>
  <c r="I27" i="8"/>
  <c r="I26" i="8"/>
  <c r="I25" i="8"/>
  <c r="I24" i="8"/>
  <c r="I23" i="8"/>
  <c r="I22" i="8"/>
  <c r="I21" i="8"/>
  <c r="I20" i="8"/>
  <c r="I19" i="8"/>
  <c r="I17" i="8"/>
  <c r="E223" i="17" l="1"/>
  <c r="Q244" i="4"/>
  <c r="D233" i="17"/>
  <c r="D229" i="17"/>
  <c r="Q256" i="4"/>
  <c r="D223" i="17"/>
  <c r="Q257" i="4"/>
  <c r="Q258" i="4"/>
  <c r="Q262" i="4"/>
  <c r="D228" i="17"/>
  <c r="Q261" i="4"/>
  <c r="Q263" i="4"/>
  <c r="Q260" i="4"/>
  <c r="Q265" i="4"/>
  <c r="Q266" i="4"/>
  <c r="E268" i="4"/>
  <c r="D268" i="4"/>
  <c r="D143" i="4"/>
  <c r="P250" i="4"/>
  <c r="P248" i="4"/>
  <c r="P249" i="4"/>
  <c r="P247" i="4"/>
  <c r="P246" i="4"/>
  <c r="P245" i="4"/>
  <c r="D245" i="4" s="1"/>
  <c r="D214" i="17" s="1"/>
  <c r="P251" i="4"/>
  <c r="D264" i="4"/>
  <c r="D230" i="17" s="1"/>
  <c r="E266" i="4"/>
  <c r="E233" i="17" s="1"/>
  <c r="E262" i="4"/>
  <c r="E229" i="17" s="1"/>
  <c r="E260" i="4"/>
  <c r="E227" i="17" s="1"/>
  <c r="C227" i="17"/>
  <c r="D259" i="4"/>
  <c r="D224" i="17" s="1"/>
  <c r="E226" i="17"/>
  <c r="D222" i="17"/>
  <c r="E253" i="4"/>
  <c r="D225" i="17" l="1"/>
  <c r="D221" i="17"/>
  <c r="E220" i="17"/>
  <c r="E222" i="17"/>
  <c r="D227" i="17"/>
  <c r="D232" i="17"/>
  <c r="D128" i="17"/>
  <c r="Q268" i="4"/>
  <c r="D234" i="17"/>
  <c r="D220" i="17"/>
  <c r="Q253" i="4"/>
  <c r="D231" i="17"/>
  <c r="Q264" i="4"/>
  <c r="Q254" i="4"/>
  <c r="D226" i="17"/>
  <c r="Q259" i="4"/>
  <c r="Q245" i="4"/>
  <c r="D235" i="17"/>
  <c r="E235" i="17"/>
  <c r="E246" i="4"/>
  <c r="E245" i="4"/>
  <c r="E215" i="17" s="1"/>
  <c r="E251" i="4"/>
  <c r="E219" i="17" s="1"/>
  <c r="D251" i="4"/>
  <c r="E250" i="4"/>
  <c r="E218" i="17" s="1"/>
  <c r="D250" i="4"/>
  <c r="E249" i="4"/>
  <c r="E217" i="17" s="1"/>
  <c r="D249" i="4"/>
  <c r="E247" i="4"/>
  <c r="E216" i="17" s="1"/>
  <c r="D247" i="4"/>
  <c r="E248" i="4"/>
  <c r="D248" i="4"/>
  <c r="Q248" i="4" s="1"/>
  <c r="D246" i="4"/>
  <c r="Q246" i="4" s="1"/>
  <c r="D215" i="17" l="1"/>
  <c r="D216" i="17"/>
  <c r="Q247" i="4"/>
  <c r="D218" i="17"/>
  <c r="Q250" i="4"/>
  <c r="D217" i="17"/>
  <c r="Q249" i="4"/>
  <c r="D219" i="17"/>
  <c r="Q251" i="4"/>
  <c r="Y62" i="1"/>
  <c r="Z62" i="1"/>
  <c r="AA62" i="1"/>
  <c r="AC62" i="1"/>
  <c r="X62" i="1"/>
  <c r="I32" i="18" l="1"/>
  <c r="I24" i="18"/>
  <c r="K24" i="18" l="1"/>
  <c r="C42" i="16" l="1"/>
  <c r="Q13" i="1"/>
  <c r="F32" i="14"/>
  <c r="B32" i="14"/>
  <c r="Q17" i="18"/>
  <c r="Q13" i="18"/>
  <c r="Q17" i="1"/>
  <c r="Y64" i="1" l="1"/>
  <c r="Z64" i="1"/>
  <c r="AA64" i="1"/>
  <c r="AC64" i="1"/>
  <c r="AC60" i="1" s="1"/>
  <c r="Y65" i="1"/>
  <c r="Z65" i="1"/>
  <c r="AA65" i="1"/>
  <c r="AC65" i="1"/>
  <c r="Y66" i="1"/>
  <c r="Z66" i="1"/>
  <c r="AC66" i="1"/>
  <c r="X65" i="1"/>
  <c r="X66" i="1"/>
  <c r="X64" i="1"/>
  <c r="E284" i="17" l="1"/>
  <c r="C283" i="17"/>
  <c r="U29" i="1"/>
  <c r="U30" i="1"/>
  <c r="U31" i="1"/>
  <c r="U32" i="1"/>
  <c r="U33" i="1"/>
  <c r="U34" i="1"/>
  <c r="D251" i="17"/>
  <c r="C251" i="17"/>
  <c r="C46" i="18"/>
  <c r="L40" i="18"/>
  <c r="S39" i="18"/>
  <c r="I39" i="18"/>
  <c r="J39" i="18" s="1"/>
  <c r="A39" i="18"/>
  <c r="S38" i="18"/>
  <c r="I38" i="18"/>
  <c r="J38" i="18" s="1"/>
  <c r="A38" i="18"/>
  <c r="S37" i="18"/>
  <c r="I37" i="18"/>
  <c r="J37" i="18" s="1"/>
  <c r="A37" i="18"/>
  <c r="S36" i="18"/>
  <c r="I36" i="18"/>
  <c r="J36" i="18" s="1"/>
  <c r="A36" i="18"/>
  <c r="S35" i="18"/>
  <c r="D35" i="18"/>
  <c r="I35" i="18" s="1"/>
  <c r="J35" i="18" s="1"/>
  <c r="A35" i="18"/>
  <c r="U34" i="18"/>
  <c r="T34" i="18" s="1"/>
  <c r="I34" i="18" s="1"/>
  <c r="J34" i="18" s="1"/>
  <c r="S34" i="18"/>
  <c r="A34" i="18"/>
  <c r="U33" i="18"/>
  <c r="T33" i="18" s="1"/>
  <c r="I33" i="18" s="1"/>
  <c r="J33" i="18" s="1"/>
  <c r="S33" i="18"/>
  <c r="A33" i="18"/>
  <c r="U32" i="18"/>
  <c r="T32" i="18" s="1"/>
  <c r="J32" i="18" s="1"/>
  <c r="A32" i="18"/>
  <c r="U31" i="18"/>
  <c r="T31" i="18" s="1"/>
  <c r="I31" i="18" s="1"/>
  <c r="J31" i="18" s="1"/>
  <c r="S31" i="18"/>
  <c r="A31" i="18"/>
  <c r="U30" i="18"/>
  <c r="T30" i="18" s="1"/>
  <c r="S30" i="18"/>
  <c r="I30" i="18"/>
  <c r="J30" i="18" s="1"/>
  <c r="A30" i="18"/>
  <c r="U29" i="18"/>
  <c r="T29" i="18" s="1"/>
  <c r="I29" i="18" s="1"/>
  <c r="J29" i="18" s="1"/>
  <c r="S29" i="18"/>
  <c r="A29" i="18"/>
  <c r="S28" i="18"/>
  <c r="K28" i="18"/>
  <c r="J28" i="18"/>
  <c r="I28" i="18"/>
  <c r="A28" i="18"/>
  <c r="S27" i="18"/>
  <c r="K27" i="18"/>
  <c r="J27" i="18"/>
  <c r="I27" i="18"/>
  <c r="A27" i="18"/>
  <c r="S26" i="18"/>
  <c r="K26" i="18"/>
  <c r="J26" i="18"/>
  <c r="I26" i="18"/>
  <c r="A26" i="18"/>
  <c r="S25" i="18"/>
  <c r="K25" i="18"/>
  <c r="I25" i="18"/>
  <c r="A25" i="18"/>
  <c r="I48" i="18"/>
  <c r="A24" i="18"/>
  <c r="S24" i="18" s="1"/>
  <c r="U19" i="18"/>
  <c r="T19" i="18" s="1"/>
  <c r="X19" i="18" s="1"/>
  <c r="S19" i="18"/>
  <c r="U18" i="18"/>
  <c r="T18" i="18" s="1"/>
  <c r="X18" i="18" s="1"/>
  <c r="Q18" i="18"/>
  <c r="U17" i="18"/>
  <c r="T17" i="18" s="1"/>
  <c r="X17" i="18" s="1"/>
  <c r="U16" i="18"/>
  <c r="T16" i="18" s="1"/>
  <c r="U15" i="18"/>
  <c r="T15" i="18" s="1"/>
  <c r="X15" i="18" s="1"/>
  <c r="U14" i="18"/>
  <c r="T14" i="18" s="1"/>
  <c r="X14" i="18" s="1"/>
  <c r="Q14" i="18"/>
  <c r="P15" i="18" s="1"/>
  <c r="Z13" i="18"/>
  <c r="Y13" i="18"/>
  <c r="W13" i="18"/>
  <c r="V13" i="18" s="1"/>
  <c r="U13" i="18"/>
  <c r="T13" i="18" s="1"/>
  <c r="X13" i="18" s="1"/>
  <c r="Z12" i="18"/>
  <c r="Y12" i="18"/>
  <c r="W12" i="18"/>
  <c r="V12" i="18" s="1"/>
  <c r="U12" i="18"/>
  <c r="T12" i="18" s="1"/>
  <c r="X12" i="18" s="1"/>
  <c r="U11" i="18"/>
  <c r="T11" i="18" s="1"/>
  <c r="X11" i="18" s="1"/>
  <c r="U10" i="18"/>
  <c r="T10" i="18" s="1"/>
  <c r="X10" i="18" s="1"/>
  <c r="Z9" i="18"/>
  <c r="Y9" i="18"/>
  <c r="W9" i="18"/>
  <c r="V9" i="18" s="1"/>
  <c r="U9" i="18"/>
  <c r="T9" i="18" s="1"/>
  <c r="X9" i="18" s="1"/>
  <c r="N9" i="18"/>
  <c r="Z8" i="18"/>
  <c r="Y8" i="18"/>
  <c r="W8" i="18"/>
  <c r="V8" i="18" s="1"/>
  <c r="U8" i="18"/>
  <c r="T8" i="18" s="1"/>
  <c r="N8" i="18"/>
  <c r="Z7" i="18"/>
  <c r="Y7" i="18"/>
  <c r="W7" i="18"/>
  <c r="V7" i="18" s="1"/>
  <c r="N7" i="18"/>
  <c r="L1" i="18"/>
  <c r="C132" i="17"/>
  <c r="D132" i="17"/>
  <c r="D133" i="17"/>
  <c r="C131" i="17"/>
  <c r="D213" i="17" s="1"/>
  <c r="C128" i="17"/>
  <c r="Y49" i="1"/>
  <c r="Z49" i="1"/>
  <c r="AA49" i="1"/>
  <c r="X49" i="1"/>
  <c r="T22" i="18" l="1"/>
  <c r="E50" i="18"/>
  <c r="O26" i="18"/>
  <c r="M27" i="18"/>
  <c r="S40" i="18"/>
  <c r="F40" i="18" s="1"/>
  <c r="V14" i="18"/>
  <c r="P19" i="18"/>
  <c r="T26" i="18"/>
  <c r="O28" i="18"/>
  <c r="T27" i="18"/>
  <c r="T28" i="18"/>
  <c r="T25" i="18"/>
  <c r="J25" i="18" s="1"/>
  <c r="O25" i="18" s="1"/>
  <c r="O27" i="18"/>
  <c r="Q8" i="18"/>
  <c r="E47" i="18"/>
  <c r="C47" i="18"/>
  <c r="C44" i="18"/>
  <c r="X8" i="18"/>
  <c r="Q7" i="18"/>
  <c r="X16" i="18"/>
  <c r="R8" i="18" s="1"/>
  <c r="M26" i="18"/>
  <c r="M28" i="18"/>
  <c r="I40" i="18"/>
  <c r="C45" i="18"/>
  <c r="M25" i="18" l="1"/>
  <c r="L14" i="18"/>
  <c r="E46" i="18" s="1"/>
  <c r="V22" i="18"/>
  <c r="C48" i="18"/>
  <c r="Q9" i="18"/>
  <c r="R7" i="18"/>
  <c r="P7" i="18"/>
  <c r="X44" i="18"/>
  <c r="X45" i="18"/>
  <c r="P8" i="18"/>
  <c r="C50" i="18"/>
  <c r="B251" i="17" s="1"/>
  <c r="Q10" i="18" l="1"/>
  <c r="G48" i="18"/>
  <c r="P9" i="18"/>
  <c r="P10" i="18"/>
  <c r="Y60" i="1" l="1"/>
  <c r="Z60" i="1"/>
  <c r="D125" i="17"/>
  <c r="D127" i="17" l="1"/>
  <c r="D126" i="17"/>
  <c r="Y61" i="1"/>
  <c r="I24" i="1" l="1"/>
  <c r="T26" i="1" l="1"/>
  <c r="T27" i="1"/>
  <c r="T28" i="1"/>
  <c r="T25" i="1"/>
  <c r="I18" i="14" l="1"/>
  <c r="I16" i="14"/>
  <c r="I14" i="14"/>
  <c r="I12" i="14"/>
  <c r="I10" i="14"/>
  <c r="H18" i="14" l="1"/>
  <c r="I17" i="14" s="1"/>
  <c r="H16" i="14"/>
  <c r="I15" i="14" s="1"/>
  <c r="H14" i="14"/>
  <c r="I13" i="14" s="1"/>
  <c r="H12" i="14"/>
  <c r="I11" i="14" s="1"/>
  <c r="H10" i="14"/>
  <c r="I9" i="14" s="1"/>
  <c r="I32" i="14" l="1"/>
  <c r="L19" i="18" s="1"/>
  <c r="J24" i="18"/>
  <c r="C133" i="17"/>
  <c r="T24" i="1" l="1"/>
  <c r="J24" i="1" s="1"/>
  <c r="U24" i="1"/>
  <c r="V24" i="1" s="1"/>
  <c r="T23" i="1"/>
  <c r="J23" i="18"/>
  <c r="W24" i="18"/>
  <c r="O24" i="18"/>
  <c r="J40" i="18"/>
  <c r="L19" i="1"/>
  <c r="B285" i="17"/>
  <c r="C319" i="17"/>
  <c r="C32" i="18" s="1"/>
  <c r="B295" i="17"/>
  <c r="B296" i="17"/>
  <c r="B297" i="17"/>
  <c r="B298" i="17"/>
  <c r="B294" i="17"/>
  <c r="A294" i="17"/>
  <c r="B288" i="17"/>
  <c r="B289" i="17"/>
  <c r="B290" i="17"/>
  <c r="B291" i="17"/>
  <c r="B287" i="17"/>
  <c r="A288" i="17"/>
  <c r="A289" i="17"/>
  <c r="A290" i="17"/>
  <c r="A291" i="17"/>
  <c r="A287" i="17"/>
  <c r="D285" i="17"/>
  <c r="B281" i="17"/>
  <c r="U42" i="18" s="1"/>
  <c r="B280" i="17"/>
  <c r="T42" i="18" s="1"/>
  <c r="C278" i="17"/>
  <c r="B278" i="17"/>
  <c r="C276" i="17"/>
  <c r="C272" i="17"/>
  <c r="B273" i="17"/>
  <c r="B274" i="17"/>
  <c r="B275" i="17"/>
  <c r="B276" i="17"/>
  <c r="B272" i="17"/>
  <c r="A273" i="17"/>
  <c r="A274" i="17"/>
  <c r="A275" i="17"/>
  <c r="A272" i="17"/>
  <c r="A254" i="17"/>
  <c r="W24" i="1" l="1"/>
  <c r="J23" i="1"/>
  <c r="T23" i="18"/>
  <c r="Z45" i="18"/>
  <c r="Z44" i="18"/>
  <c r="G51" i="18"/>
  <c r="C40" i="18"/>
  <c r="C51" i="18" s="1"/>
  <c r="E51" i="18" s="1"/>
  <c r="U44" i="18"/>
  <c r="U45" i="18"/>
  <c r="U24" i="18"/>
  <c r="V24" i="18" s="1"/>
  <c r="M24" i="18" s="1"/>
  <c r="G251" i="17"/>
  <c r="C28" i="16"/>
  <c r="AA44" i="18" l="1"/>
  <c r="AB44" i="18" s="1"/>
  <c r="AC44" i="18" s="1"/>
  <c r="AA45" i="18"/>
  <c r="AB45" i="18" s="1"/>
  <c r="C21" i="16"/>
  <c r="C25" i="16"/>
  <c r="C26" i="16"/>
  <c r="C43" i="16"/>
  <c r="AC45" i="18" l="1"/>
  <c r="AD45" i="18" s="1"/>
  <c r="Y45" i="18" s="1"/>
  <c r="V45" i="18" s="1"/>
  <c r="T45" i="18" s="1"/>
  <c r="D45" i="18" s="1"/>
  <c r="E45" i="18" s="1"/>
  <c r="AD44" i="18"/>
  <c r="Y44" i="18" s="1"/>
  <c r="C22" i="16"/>
  <c r="D1" i="16"/>
  <c r="Y43" i="18" l="1"/>
  <c r="V44" i="18"/>
  <c r="C29" i="16"/>
  <c r="C34" i="16" l="1"/>
  <c r="C45" i="16" s="1"/>
  <c r="C30" i="16"/>
  <c r="X60" i="1"/>
  <c r="O24" i="1" l="1"/>
  <c r="M24" i="1"/>
  <c r="AC61" i="1"/>
  <c r="S19" i="1"/>
  <c r="A24" i="1" l="1"/>
  <c r="S24" i="1" s="1"/>
  <c r="S25" i="1"/>
  <c r="S27" i="1"/>
  <c r="S28" i="1"/>
  <c r="S29" i="1"/>
  <c r="S30" i="1"/>
  <c r="S31" i="1"/>
  <c r="S33" i="1"/>
  <c r="S34" i="1"/>
  <c r="A26" i="1" l="1"/>
  <c r="S26" i="1" s="1"/>
  <c r="A27" i="1"/>
  <c r="A28" i="1"/>
  <c r="A29" i="1"/>
  <c r="A30" i="1"/>
  <c r="A31" i="1"/>
  <c r="A32" i="1"/>
  <c r="A33" i="1"/>
  <c r="A34" i="1"/>
  <c r="A35" i="1"/>
  <c r="S35" i="1" s="1"/>
  <c r="A36" i="1"/>
  <c r="S36" i="1" s="1"/>
  <c r="A37" i="1"/>
  <c r="S37" i="1" s="1"/>
  <c r="A38" i="1"/>
  <c r="S38" i="1" s="1"/>
  <c r="A39" i="1"/>
  <c r="S39" i="1" s="1"/>
  <c r="A25" i="1"/>
  <c r="S40" i="1" l="1"/>
  <c r="E50" i="1"/>
  <c r="I37" i="1"/>
  <c r="J37" i="1" s="1"/>
  <c r="D35" i="1"/>
  <c r="Y13" i="1" l="1"/>
  <c r="Y12" i="1"/>
  <c r="Z8" i="1"/>
  <c r="Z7" i="1"/>
  <c r="Y9" i="1"/>
  <c r="N8" i="1"/>
  <c r="N9" i="1"/>
  <c r="N7" i="1"/>
  <c r="Q18" i="1"/>
  <c r="P19" i="1" l="1"/>
  <c r="Q14" i="1"/>
  <c r="P15" i="1" s="1"/>
  <c r="L40" i="1" l="1"/>
  <c r="T34" i="1"/>
  <c r="V50" i="1"/>
  <c r="U50" i="1"/>
  <c r="C46" i="1"/>
  <c r="U42" i="1"/>
  <c r="T42" i="1"/>
  <c r="I39" i="1"/>
  <c r="J39" i="1" s="1"/>
  <c r="I38" i="1"/>
  <c r="J38" i="1" s="1"/>
  <c r="I36" i="1"/>
  <c r="J36" i="1" s="1"/>
  <c r="I35" i="1"/>
  <c r="J35" i="1" s="1"/>
  <c r="T33" i="1"/>
  <c r="T32" i="1"/>
  <c r="I32" i="1" s="1"/>
  <c r="J32" i="1" s="1"/>
  <c r="C32" i="1"/>
  <c r="T31" i="1"/>
  <c r="I31" i="1" s="1"/>
  <c r="J31" i="1" s="1"/>
  <c r="T30" i="1"/>
  <c r="I30" i="1" s="1"/>
  <c r="J30" i="1" s="1"/>
  <c r="T29" i="1"/>
  <c r="I29" i="1" s="1"/>
  <c r="J29" i="1" s="1"/>
  <c r="K28" i="1"/>
  <c r="J28" i="1"/>
  <c r="I28" i="1"/>
  <c r="K27" i="1"/>
  <c r="J27" i="1"/>
  <c r="J26" i="1"/>
  <c r="K26" i="1"/>
  <c r="I26" i="1"/>
  <c r="K24" i="1"/>
  <c r="I48" i="1" s="1"/>
  <c r="U19" i="1"/>
  <c r="T19" i="1" s="1"/>
  <c r="X19" i="1" s="1"/>
  <c r="U18" i="1"/>
  <c r="T18" i="1" s="1"/>
  <c r="X18" i="1" s="1"/>
  <c r="U17" i="1"/>
  <c r="T17" i="1" s="1"/>
  <c r="X17" i="1" s="1"/>
  <c r="U16" i="1"/>
  <c r="T16" i="1" s="1"/>
  <c r="X16" i="1" s="1"/>
  <c r="U15" i="1"/>
  <c r="T15" i="1" s="1"/>
  <c r="X15" i="1" s="1"/>
  <c r="U14" i="1"/>
  <c r="T14" i="1" s="1"/>
  <c r="W13" i="1"/>
  <c r="V13" i="1" s="1"/>
  <c r="Z13" i="1" s="1"/>
  <c r="U13" i="1"/>
  <c r="T13" i="1" s="1"/>
  <c r="X13" i="1" s="1"/>
  <c r="W12" i="1"/>
  <c r="V12" i="1" s="1"/>
  <c r="V14" i="1" s="1"/>
  <c r="U12" i="1"/>
  <c r="T12" i="1" s="1"/>
  <c r="X12" i="1" s="1"/>
  <c r="U11" i="1"/>
  <c r="T11" i="1" s="1"/>
  <c r="X11" i="1" s="1"/>
  <c r="U10" i="1"/>
  <c r="T10" i="1" s="1"/>
  <c r="X10" i="1" s="1"/>
  <c r="W9" i="1"/>
  <c r="V9" i="1" s="1"/>
  <c r="Z9" i="1" s="1"/>
  <c r="U9" i="1"/>
  <c r="T9" i="1" s="1"/>
  <c r="X9" i="1" s="1"/>
  <c r="W8" i="1"/>
  <c r="V8" i="1" s="1"/>
  <c r="Y8" i="1" s="1"/>
  <c r="U8" i="1"/>
  <c r="T8" i="1" s="1"/>
  <c r="W7" i="1"/>
  <c r="V7" i="1" s="1"/>
  <c r="L1" i="1"/>
  <c r="AB50" i="1" l="1"/>
  <c r="AB51" i="1" s="1"/>
  <c r="AB53" i="1" s="1"/>
  <c r="AC50" i="1"/>
  <c r="AC51" i="1" s="1"/>
  <c r="AC53" i="1" s="1"/>
  <c r="AA60" i="1"/>
  <c r="AB60" i="1"/>
  <c r="I33" i="1"/>
  <c r="J33" i="1" s="1"/>
  <c r="I34" i="1"/>
  <c r="J34" i="1" s="1"/>
  <c r="V22" i="1"/>
  <c r="T22" i="1"/>
  <c r="O27" i="1"/>
  <c r="O28" i="1"/>
  <c r="O26" i="1"/>
  <c r="AA50" i="1"/>
  <c r="AA51" i="1" s="1"/>
  <c r="AA53" i="1" s="1"/>
  <c r="Z12" i="1"/>
  <c r="G51" i="1"/>
  <c r="C40" i="1"/>
  <c r="C51" i="1" s="1"/>
  <c r="Q7" i="1"/>
  <c r="X8" i="1"/>
  <c r="C47" i="1"/>
  <c r="Y7" i="1"/>
  <c r="X14" i="1"/>
  <c r="P8" i="1" s="1"/>
  <c r="Q8" i="1"/>
  <c r="J25" i="1"/>
  <c r="M27" i="1"/>
  <c r="M28" i="1"/>
  <c r="C45" i="1"/>
  <c r="L14" i="21" s="1"/>
  <c r="I25" i="1"/>
  <c r="I40" i="1" s="1"/>
  <c r="L14" i="1"/>
  <c r="E46" i="1" s="1"/>
  <c r="K25" i="1"/>
  <c r="Y50" i="1"/>
  <c r="Y51" i="1" s="1"/>
  <c r="Y53" i="1" s="1"/>
  <c r="X50" i="1"/>
  <c r="X51" i="1" s="1"/>
  <c r="X53" i="1" s="1"/>
  <c r="M26" i="1"/>
  <c r="C44" i="1"/>
  <c r="L6" i="21" s="1"/>
  <c r="E47" i="1"/>
  <c r="Z50" i="1"/>
  <c r="Z51" i="1" s="1"/>
  <c r="Z53" i="1" s="1"/>
  <c r="L16" i="21" l="1"/>
  <c r="L18" i="21" s="1"/>
  <c r="L8" i="21"/>
  <c r="L10" i="21" s="1"/>
  <c r="X45" i="1"/>
  <c r="U45" i="1" s="1"/>
  <c r="O25" i="1"/>
  <c r="C50" i="1"/>
  <c r="Q9" i="1"/>
  <c r="P7" i="1"/>
  <c r="P9" i="1" s="1"/>
  <c r="R7" i="1"/>
  <c r="M25" i="1"/>
  <c r="R8" i="1"/>
  <c r="C48" i="1"/>
  <c r="X44" i="1"/>
  <c r="U44" i="1" s="1"/>
  <c r="E317" i="4"/>
  <c r="C316" i="4"/>
  <c r="A298" i="17" l="1"/>
  <c r="A297" i="17"/>
  <c r="M44" i="1"/>
  <c r="M45" i="1"/>
  <c r="A296" i="17"/>
  <c r="A295" i="17"/>
  <c r="Z45" i="1"/>
  <c r="AA45" i="1" s="1"/>
  <c r="Q10" i="1"/>
  <c r="P10" i="1"/>
  <c r="G48" i="1"/>
  <c r="Z44" i="1"/>
  <c r="E51" i="1" l="1"/>
  <c r="B284" i="4"/>
  <c r="C285" i="17"/>
  <c r="E285" i="17" s="1"/>
  <c r="F285" i="17" s="1"/>
  <c r="D283" i="17" s="1"/>
  <c r="W44" i="18" s="1"/>
  <c r="AB45" i="1"/>
  <c r="AC45" i="1" s="1"/>
  <c r="AA44" i="1"/>
  <c r="AB44" i="1" s="1"/>
  <c r="C3" i="14"/>
  <c r="B3" i="14"/>
  <c r="E1" i="14"/>
  <c r="D6" i="13"/>
  <c r="E6" i="13"/>
  <c r="E9" i="13" s="1"/>
  <c r="F6" i="13"/>
  <c r="F9" i="13" s="1"/>
  <c r="G6" i="13"/>
  <c r="G9" i="13" s="1"/>
  <c r="H6" i="13"/>
  <c r="H9" i="13" s="1"/>
  <c r="I6" i="13"/>
  <c r="I9" i="13" s="1"/>
  <c r="J6" i="13"/>
  <c r="J9" i="13" s="1"/>
  <c r="K6" i="13"/>
  <c r="K9" i="13" s="1"/>
  <c r="L6" i="13"/>
  <c r="L9" i="13" s="1"/>
  <c r="M6" i="13"/>
  <c r="M9" i="13" s="1"/>
  <c r="N6" i="13"/>
  <c r="N9" i="13" s="1"/>
  <c r="O6" i="13"/>
  <c r="O9" i="13" s="1"/>
  <c r="P6" i="13"/>
  <c r="P9" i="13" s="1"/>
  <c r="Q6" i="13"/>
  <c r="Q9" i="13" s="1"/>
  <c r="D7" i="13"/>
  <c r="E7" i="13"/>
  <c r="F7" i="13"/>
  <c r="G7" i="13"/>
  <c r="H7" i="13"/>
  <c r="I7" i="13"/>
  <c r="J7" i="13"/>
  <c r="K7" i="13"/>
  <c r="L7" i="13"/>
  <c r="M7" i="13"/>
  <c r="N7" i="13"/>
  <c r="O7" i="13"/>
  <c r="P7" i="13"/>
  <c r="Q7" i="13"/>
  <c r="E8" i="13"/>
  <c r="F8" i="13"/>
  <c r="G8" i="13"/>
  <c r="H8" i="13"/>
  <c r="I8" i="13"/>
  <c r="J8" i="13"/>
  <c r="K8" i="13"/>
  <c r="L8" i="13"/>
  <c r="M8" i="13"/>
  <c r="N8" i="13"/>
  <c r="O8" i="13"/>
  <c r="P8" i="13"/>
  <c r="Q8" i="13"/>
  <c r="D9" i="13"/>
  <c r="AC57" i="1" l="1"/>
  <c r="AB57" i="1"/>
  <c r="Z57" i="1"/>
  <c r="AA57" i="1"/>
  <c r="X57" i="1"/>
  <c r="Y57" i="1"/>
  <c r="AD45" i="1"/>
  <c r="Y45" i="1" s="1"/>
  <c r="V45" i="1" s="1"/>
  <c r="T45" i="1" s="1"/>
  <c r="D45" i="1" s="1"/>
  <c r="E45" i="1" s="1"/>
  <c r="AC44" i="1"/>
  <c r="AD44" i="1" s="1"/>
  <c r="E18" i="14"/>
  <c r="E16" i="14"/>
  <c r="E14" i="14"/>
  <c r="E12" i="14"/>
  <c r="E10" i="14"/>
  <c r="D10" i="13"/>
  <c r="A300" i="4"/>
  <c r="A267" i="17" s="1"/>
  <c r="A299" i="4"/>
  <c r="A266" i="17" s="1"/>
  <c r="A298" i="4"/>
  <c r="A265" i="17" s="1"/>
  <c r="A297" i="4"/>
  <c r="A264" i="17" s="1"/>
  <c r="A296" i="4"/>
  <c r="A263" i="17" s="1"/>
  <c r="A295" i="4"/>
  <c r="A262" i="17" s="1"/>
  <c r="A294" i="4"/>
  <c r="A261" i="17" s="1"/>
  <c r="A293" i="4"/>
  <c r="A292" i="4"/>
  <c r="A259" i="17" s="1"/>
  <c r="A291" i="4"/>
  <c r="A258" i="17" s="1"/>
  <c r="A290" i="4"/>
  <c r="A257" i="17" s="1"/>
  <c r="A289" i="4"/>
  <c r="A256" i="17" s="1"/>
  <c r="A288" i="4"/>
  <c r="A255" i="17" s="1"/>
  <c r="D18" i="14" l="1"/>
  <c r="E17" i="14" s="1"/>
  <c r="D16" i="14"/>
  <c r="E15" i="14" s="1"/>
  <c r="D14" i="14"/>
  <c r="E13" i="14" s="1"/>
  <c r="D12" i="14"/>
  <c r="E11" i="14" s="1"/>
  <c r="D10" i="14"/>
  <c r="E9" i="14" s="1"/>
  <c r="A260" i="17"/>
  <c r="E251" i="17" s="1"/>
  <c r="F251" i="17" s="1"/>
  <c r="E284" i="4"/>
  <c r="Y44" i="1"/>
  <c r="V44" i="1" l="1"/>
  <c r="Y43" i="1"/>
  <c r="E127" i="17" l="1"/>
  <c r="F127" i="17" l="1"/>
  <c r="F126" i="17"/>
  <c r="Z61" i="1"/>
  <c r="AA61" i="1"/>
  <c r="C244" i="13"/>
  <c r="C245" i="13"/>
  <c r="C246" i="13"/>
  <c r="C236" i="13"/>
  <c r="C237" i="13"/>
  <c r="C238" i="13"/>
  <c r="C227" i="13"/>
  <c r="C228" i="13"/>
  <c r="C229" i="13"/>
  <c r="C219" i="13"/>
  <c r="C220" i="13"/>
  <c r="C221" i="13"/>
  <c r="C210" i="13"/>
  <c r="C211" i="13"/>
  <c r="C212" i="13"/>
  <c r="C202" i="13"/>
  <c r="C203" i="13"/>
  <c r="C204" i="13"/>
  <c r="C195" i="13"/>
  <c r="C193" i="13"/>
  <c r="C194" i="13"/>
  <c r="C185" i="13"/>
  <c r="C186" i="13"/>
  <c r="C187" i="13"/>
  <c r="C176" i="13"/>
  <c r="C177" i="13"/>
  <c r="C178" i="13"/>
  <c r="C168" i="13"/>
  <c r="C169" i="13"/>
  <c r="C170" i="13"/>
  <c r="C159" i="13"/>
  <c r="C160" i="13"/>
  <c r="C161" i="13"/>
  <c r="C151" i="13"/>
  <c r="C152" i="13"/>
  <c r="C153" i="13"/>
  <c r="C144" i="13"/>
  <c r="C142" i="13"/>
  <c r="C143" i="13"/>
  <c r="C134" i="13"/>
  <c r="C135" i="13"/>
  <c r="C136" i="13"/>
  <c r="C125" i="13"/>
  <c r="C126" i="13"/>
  <c r="C127" i="13"/>
  <c r="C117" i="13"/>
  <c r="C118" i="13"/>
  <c r="C119" i="13"/>
  <c r="C108" i="13"/>
  <c r="C109" i="13"/>
  <c r="C110" i="13"/>
  <c r="C100" i="13"/>
  <c r="C101" i="13"/>
  <c r="C102" i="13"/>
  <c r="C91" i="13"/>
  <c r="C92" i="13"/>
  <c r="C93" i="13"/>
  <c r="C83" i="13"/>
  <c r="C84" i="13"/>
  <c r="C85" i="13"/>
  <c r="C74" i="13"/>
  <c r="C75" i="13"/>
  <c r="C76" i="13"/>
  <c r="C66" i="13"/>
  <c r="C67" i="13"/>
  <c r="C68" i="13"/>
  <c r="C57" i="13"/>
  <c r="C58" i="13"/>
  <c r="C59" i="13"/>
  <c r="C51" i="13"/>
  <c r="C48" i="13"/>
  <c r="C49" i="13"/>
  <c r="C50" i="13"/>
  <c r="C39" i="13"/>
  <c r="C40" i="13"/>
  <c r="C41" i="13"/>
  <c r="C31" i="13"/>
  <c r="C32" i="13"/>
  <c r="C33" i="13"/>
  <c r="C22" i="13"/>
  <c r="C23" i="13"/>
  <c r="C24" i="13"/>
  <c r="C14" i="13"/>
  <c r="C15" i="13"/>
  <c r="C16" i="13"/>
  <c r="C233" i="13"/>
  <c r="C234" i="13"/>
  <c r="C235" i="13"/>
  <c r="C240" i="13"/>
  <c r="C241" i="13"/>
  <c r="C242" i="13"/>
  <c r="C243" i="13"/>
  <c r="C232" i="13"/>
  <c r="C216" i="13"/>
  <c r="C217" i="13"/>
  <c r="C218" i="13"/>
  <c r="C223" i="13"/>
  <c r="C224" i="13"/>
  <c r="C225" i="13"/>
  <c r="C226" i="13"/>
  <c r="C215" i="13"/>
  <c r="C199" i="13"/>
  <c r="C200" i="13"/>
  <c r="C201" i="13"/>
  <c r="C206" i="13"/>
  <c r="C207" i="13"/>
  <c r="C208" i="13"/>
  <c r="C209" i="13"/>
  <c r="C198" i="13"/>
  <c r="C182" i="13"/>
  <c r="C183" i="13"/>
  <c r="C184" i="13"/>
  <c r="C189" i="13"/>
  <c r="C190" i="13"/>
  <c r="C191" i="13"/>
  <c r="C192" i="13"/>
  <c r="C181" i="13"/>
  <c r="C165" i="13"/>
  <c r="C166" i="13"/>
  <c r="C167" i="13"/>
  <c r="C172" i="13"/>
  <c r="C173" i="13"/>
  <c r="C174" i="13"/>
  <c r="C175" i="13"/>
  <c r="C164" i="13"/>
  <c r="C148" i="13"/>
  <c r="C149" i="13"/>
  <c r="C150" i="13"/>
  <c r="C155" i="13"/>
  <c r="C156" i="13"/>
  <c r="C157" i="13"/>
  <c r="C158" i="13"/>
  <c r="C147" i="13"/>
  <c r="C131" i="13"/>
  <c r="C132" i="13"/>
  <c r="C133" i="13"/>
  <c r="C138" i="13"/>
  <c r="C139" i="13"/>
  <c r="C140" i="13"/>
  <c r="C141" i="13"/>
  <c r="C130" i="13"/>
  <c r="C114" i="13"/>
  <c r="C115" i="13"/>
  <c r="C116" i="13"/>
  <c r="C121" i="13"/>
  <c r="C122" i="13"/>
  <c r="C123" i="13"/>
  <c r="C124" i="13"/>
  <c r="C113" i="13"/>
  <c r="C97" i="13"/>
  <c r="C98" i="13"/>
  <c r="C99" i="13"/>
  <c r="C104" i="13"/>
  <c r="C105" i="13"/>
  <c r="C106" i="13"/>
  <c r="C107" i="13"/>
  <c r="C96" i="13"/>
  <c r="C80" i="13"/>
  <c r="C81" i="13"/>
  <c r="C82" i="13"/>
  <c r="C87" i="13"/>
  <c r="C88" i="13"/>
  <c r="C89" i="13"/>
  <c r="C90" i="13"/>
  <c r="C79" i="13"/>
  <c r="C63" i="13"/>
  <c r="C64" i="13"/>
  <c r="C65" i="13"/>
  <c r="C70" i="13"/>
  <c r="C71" i="13"/>
  <c r="C72" i="13"/>
  <c r="C73" i="13"/>
  <c r="C62" i="13"/>
  <c r="C46" i="13"/>
  <c r="C47" i="13"/>
  <c r="C53" i="13"/>
  <c r="C54" i="13"/>
  <c r="C55" i="13"/>
  <c r="C56" i="13"/>
  <c r="C45" i="13"/>
  <c r="C28" i="13"/>
  <c r="C29" i="13"/>
  <c r="C30" i="13"/>
  <c r="C35" i="13"/>
  <c r="C36" i="13"/>
  <c r="C37" i="13"/>
  <c r="C38" i="13"/>
  <c r="C27" i="13"/>
  <c r="E11" i="13"/>
  <c r="D11" i="13" s="1"/>
  <c r="F11" i="13"/>
  <c r="G11" i="13"/>
  <c r="H11" i="13"/>
  <c r="I11" i="13"/>
  <c r="J11" i="13"/>
  <c r="K11" i="13"/>
  <c r="L11" i="13"/>
  <c r="M11" i="13"/>
  <c r="N11" i="13"/>
  <c r="O11" i="13"/>
  <c r="P11" i="13"/>
  <c r="Q11" i="13"/>
  <c r="E12" i="13"/>
  <c r="D12" i="13" s="1"/>
  <c r="F12" i="13"/>
  <c r="G12" i="13"/>
  <c r="H12" i="13"/>
  <c r="I12" i="13"/>
  <c r="J12" i="13"/>
  <c r="K12" i="13"/>
  <c r="L12" i="13"/>
  <c r="M12" i="13"/>
  <c r="N12" i="13"/>
  <c r="O12" i="13"/>
  <c r="P12" i="13"/>
  <c r="Q12" i="13"/>
  <c r="F13" i="13"/>
  <c r="G13" i="13"/>
  <c r="G14" i="13" s="1"/>
  <c r="G15" i="13" s="1"/>
  <c r="G16" i="13" s="1"/>
  <c r="H13" i="13"/>
  <c r="H14" i="13" s="1"/>
  <c r="H15" i="13" s="1"/>
  <c r="H16" i="13" s="1"/>
  <c r="I13" i="13"/>
  <c r="I14" i="13" s="1"/>
  <c r="I15" i="13" s="1"/>
  <c r="I16" i="13" s="1"/>
  <c r="J13" i="13"/>
  <c r="J14" i="13" s="1"/>
  <c r="J15" i="13" s="1"/>
  <c r="J16" i="13" s="1"/>
  <c r="K13" i="13"/>
  <c r="K14" i="13" s="1"/>
  <c r="K15" i="13" s="1"/>
  <c r="K16" i="13" s="1"/>
  <c r="L13" i="13"/>
  <c r="L14" i="13" s="1"/>
  <c r="L15" i="13" s="1"/>
  <c r="L16" i="13" s="1"/>
  <c r="M13" i="13"/>
  <c r="M14" i="13" s="1"/>
  <c r="M15" i="13" s="1"/>
  <c r="M16" i="13" s="1"/>
  <c r="N13" i="13"/>
  <c r="N14" i="13" s="1"/>
  <c r="N15" i="13" s="1"/>
  <c r="N16" i="13" s="1"/>
  <c r="O13" i="13"/>
  <c r="O14" i="13" s="1"/>
  <c r="O15" i="13" s="1"/>
  <c r="O16" i="13" s="1"/>
  <c r="P13" i="13"/>
  <c r="P14" i="13" s="1"/>
  <c r="P15" i="13" s="1"/>
  <c r="P16" i="13" s="1"/>
  <c r="Q13" i="13"/>
  <c r="Q14" i="13" s="1"/>
  <c r="Q15" i="13" s="1"/>
  <c r="Q16" i="13" s="1"/>
  <c r="D18" i="13"/>
  <c r="E18" i="13"/>
  <c r="F18" i="13"/>
  <c r="G18" i="13"/>
  <c r="H18" i="13"/>
  <c r="I18" i="13"/>
  <c r="J18" i="13"/>
  <c r="K18" i="13"/>
  <c r="L18" i="13"/>
  <c r="M18" i="13"/>
  <c r="N18" i="13"/>
  <c r="O18" i="13"/>
  <c r="P18" i="13"/>
  <c r="Q18" i="13"/>
  <c r="D19" i="13"/>
  <c r="E19" i="13"/>
  <c r="F19" i="13"/>
  <c r="G19" i="13"/>
  <c r="H19" i="13"/>
  <c r="I19" i="13"/>
  <c r="J19" i="13"/>
  <c r="K19" i="13"/>
  <c r="L19" i="13"/>
  <c r="M19" i="13"/>
  <c r="N19" i="13"/>
  <c r="O19" i="13"/>
  <c r="P19" i="13"/>
  <c r="Q19" i="13"/>
  <c r="D20" i="13"/>
  <c r="E20" i="13"/>
  <c r="F20" i="13"/>
  <c r="G20" i="13"/>
  <c r="H20" i="13"/>
  <c r="I20" i="13"/>
  <c r="J20" i="13"/>
  <c r="K20" i="13"/>
  <c r="L20" i="13"/>
  <c r="M20" i="13"/>
  <c r="N20" i="13"/>
  <c r="O20" i="13"/>
  <c r="P20" i="13"/>
  <c r="Q20" i="13"/>
  <c r="E21" i="13"/>
  <c r="F21" i="13"/>
  <c r="F22" i="13" s="1"/>
  <c r="F23" i="13" s="1"/>
  <c r="F24" i="13" s="1"/>
  <c r="G21" i="13"/>
  <c r="G22" i="13" s="1"/>
  <c r="G23" i="13" s="1"/>
  <c r="G24" i="13" s="1"/>
  <c r="H21" i="13"/>
  <c r="H22" i="13" s="1"/>
  <c r="H23" i="13" s="1"/>
  <c r="H24" i="13" s="1"/>
  <c r="I21" i="13"/>
  <c r="I22" i="13" s="1"/>
  <c r="I23" i="13" s="1"/>
  <c r="I24" i="13" s="1"/>
  <c r="J21" i="13"/>
  <c r="J22" i="13" s="1"/>
  <c r="J23" i="13" s="1"/>
  <c r="J24" i="13" s="1"/>
  <c r="K21" i="13"/>
  <c r="K22" i="13" s="1"/>
  <c r="K23" i="13" s="1"/>
  <c r="K24" i="13" s="1"/>
  <c r="L21" i="13"/>
  <c r="L22" i="13" s="1"/>
  <c r="L23" i="13" s="1"/>
  <c r="L24" i="13" s="1"/>
  <c r="M21" i="13"/>
  <c r="M22" i="13" s="1"/>
  <c r="M23" i="13" s="1"/>
  <c r="M24" i="13" s="1"/>
  <c r="N21" i="13"/>
  <c r="N22" i="13" s="1"/>
  <c r="N23" i="13" s="1"/>
  <c r="N24" i="13" s="1"/>
  <c r="O21" i="13"/>
  <c r="O22" i="13" s="1"/>
  <c r="O23" i="13" s="1"/>
  <c r="O24" i="13" s="1"/>
  <c r="P21" i="13"/>
  <c r="P22" i="13" s="1"/>
  <c r="P23" i="13" s="1"/>
  <c r="P24" i="13" s="1"/>
  <c r="Q21" i="13"/>
  <c r="Q22" i="13" s="1"/>
  <c r="Q23" i="13" s="1"/>
  <c r="Q24" i="13" s="1"/>
  <c r="D27" i="13"/>
  <c r="E27" i="13"/>
  <c r="F27" i="13"/>
  <c r="G27" i="13"/>
  <c r="H27" i="13"/>
  <c r="I27" i="13"/>
  <c r="J27" i="13"/>
  <c r="K27" i="13"/>
  <c r="L27" i="13"/>
  <c r="M27" i="13"/>
  <c r="N27" i="13"/>
  <c r="O27" i="13"/>
  <c r="P27" i="13"/>
  <c r="Q27" i="13"/>
  <c r="E28" i="13"/>
  <c r="D28" i="13" s="1"/>
  <c r="F28" i="13"/>
  <c r="G28" i="13"/>
  <c r="H28" i="13"/>
  <c r="I28" i="13"/>
  <c r="J28" i="13"/>
  <c r="K28" i="13"/>
  <c r="L28" i="13"/>
  <c r="M28" i="13"/>
  <c r="N28" i="13"/>
  <c r="O28" i="13"/>
  <c r="P28" i="13"/>
  <c r="Q28" i="13"/>
  <c r="E29" i="13"/>
  <c r="D29" i="13" s="1"/>
  <c r="F29" i="13"/>
  <c r="G29" i="13"/>
  <c r="H29" i="13"/>
  <c r="I29" i="13"/>
  <c r="J29" i="13"/>
  <c r="K29" i="13"/>
  <c r="L29" i="13"/>
  <c r="M29" i="13"/>
  <c r="N29" i="13"/>
  <c r="O29" i="13"/>
  <c r="P29" i="13"/>
  <c r="Q29" i="13"/>
  <c r="F30" i="13"/>
  <c r="G30" i="13"/>
  <c r="G31" i="13" s="1"/>
  <c r="G32" i="13" s="1"/>
  <c r="G33" i="13" s="1"/>
  <c r="H30" i="13"/>
  <c r="H31" i="13" s="1"/>
  <c r="H32" i="13" s="1"/>
  <c r="H33" i="13" s="1"/>
  <c r="I30" i="13"/>
  <c r="I31" i="13" s="1"/>
  <c r="I32" i="13" s="1"/>
  <c r="I33" i="13" s="1"/>
  <c r="J30" i="13"/>
  <c r="J31" i="13" s="1"/>
  <c r="J32" i="13" s="1"/>
  <c r="J33" i="13" s="1"/>
  <c r="K30" i="13"/>
  <c r="K31" i="13" s="1"/>
  <c r="K32" i="13" s="1"/>
  <c r="K33" i="13" s="1"/>
  <c r="L30" i="13"/>
  <c r="L31" i="13" s="1"/>
  <c r="L32" i="13" s="1"/>
  <c r="L33" i="13" s="1"/>
  <c r="M30" i="13"/>
  <c r="M31" i="13" s="1"/>
  <c r="M32" i="13" s="1"/>
  <c r="M33" i="13" s="1"/>
  <c r="N30" i="13"/>
  <c r="N31" i="13" s="1"/>
  <c r="N32" i="13" s="1"/>
  <c r="N33" i="13" s="1"/>
  <c r="O30" i="13"/>
  <c r="O31" i="13" s="1"/>
  <c r="O32" i="13" s="1"/>
  <c r="O33" i="13" s="1"/>
  <c r="P30" i="13"/>
  <c r="P31" i="13" s="1"/>
  <c r="P32" i="13" s="1"/>
  <c r="P33" i="13" s="1"/>
  <c r="Q30" i="13"/>
  <c r="Q31" i="13" s="1"/>
  <c r="Q32" i="13" s="1"/>
  <c r="Q33" i="13" s="1"/>
  <c r="D35" i="13"/>
  <c r="E35" i="13"/>
  <c r="F35" i="13"/>
  <c r="G35" i="13"/>
  <c r="H35" i="13"/>
  <c r="I35" i="13"/>
  <c r="J35" i="13"/>
  <c r="K35" i="13"/>
  <c r="L35" i="13"/>
  <c r="M35" i="13"/>
  <c r="N35" i="13"/>
  <c r="O35" i="13"/>
  <c r="P35" i="13"/>
  <c r="Q35" i="13"/>
  <c r="D36" i="13"/>
  <c r="E36" i="13"/>
  <c r="F36" i="13"/>
  <c r="G36" i="13"/>
  <c r="H36" i="13"/>
  <c r="I36" i="13"/>
  <c r="J36" i="13"/>
  <c r="K36" i="13"/>
  <c r="L36" i="13"/>
  <c r="M36" i="13"/>
  <c r="N36" i="13"/>
  <c r="O36" i="13"/>
  <c r="P36" i="13"/>
  <c r="Q36" i="13"/>
  <c r="D37" i="13"/>
  <c r="E37" i="13"/>
  <c r="F37" i="13"/>
  <c r="G37" i="13"/>
  <c r="H37" i="13"/>
  <c r="I37" i="13"/>
  <c r="J37" i="13"/>
  <c r="K37" i="13"/>
  <c r="L37" i="13"/>
  <c r="M37" i="13"/>
  <c r="N37" i="13"/>
  <c r="O37" i="13"/>
  <c r="P37" i="13"/>
  <c r="Q37" i="13"/>
  <c r="E38" i="13"/>
  <c r="F38" i="13"/>
  <c r="F39" i="13" s="1"/>
  <c r="F40" i="13" s="1"/>
  <c r="F41" i="13" s="1"/>
  <c r="G38" i="13"/>
  <c r="G39" i="13" s="1"/>
  <c r="G40" i="13" s="1"/>
  <c r="G41" i="13" s="1"/>
  <c r="H38" i="13"/>
  <c r="H39" i="13" s="1"/>
  <c r="H40" i="13" s="1"/>
  <c r="H41" i="13" s="1"/>
  <c r="I38" i="13"/>
  <c r="I39" i="13" s="1"/>
  <c r="I40" i="13" s="1"/>
  <c r="I41" i="13" s="1"/>
  <c r="J38" i="13"/>
  <c r="J39" i="13" s="1"/>
  <c r="J40" i="13" s="1"/>
  <c r="J41" i="13" s="1"/>
  <c r="K38" i="13"/>
  <c r="K39" i="13" s="1"/>
  <c r="K40" i="13" s="1"/>
  <c r="K41" i="13" s="1"/>
  <c r="L38" i="13"/>
  <c r="L39" i="13" s="1"/>
  <c r="L40" i="13" s="1"/>
  <c r="L41" i="13" s="1"/>
  <c r="M38" i="13"/>
  <c r="M39" i="13" s="1"/>
  <c r="M40" i="13" s="1"/>
  <c r="M41" i="13" s="1"/>
  <c r="N38" i="13"/>
  <c r="N39" i="13" s="1"/>
  <c r="N40" i="13" s="1"/>
  <c r="N41" i="13" s="1"/>
  <c r="O38" i="13"/>
  <c r="O39" i="13" s="1"/>
  <c r="O40" i="13" s="1"/>
  <c r="O41" i="13" s="1"/>
  <c r="P38" i="13"/>
  <c r="P39" i="13" s="1"/>
  <c r="P40" i="13" s="1"/>
  <c r="P41" i="13" s="1"/>
  <c r="Q38" i="13"/>
  <c r="Q39" i="13" s="1"/>
  <c r="Q40" i="13" s="1"/>
  <c r="Q41" i="13" s="1"/>
  <c r="D45" i="13"/>
  <c r="E45" i="13"/>
  <c r="F45" i="13"/>
  <c r="G45" i="13"/>
  <c r="H45" i="13"/>
  <c r="I45" i="13"/>
  <c r="J45" i="13"/>
  <c r="K45" i="13"/>
  <c r="L45" i="13"/>
  <c r="M45" i="13"/>
  <c r="N45" i="13"/>
  <c r="O45" i="13"/>
  <c r="P45" i="13"/>
  <c r="Q45" i="13"/>
  <c r="E46" i="13"/>
  <c r="D46" i="13" s="1"/>
  <c r="F46" i="13"/>
  <c r="G46" i="13"/>
  <c r="H46" i="13"/>
  <c r="I46" i="13"/>
  <c r="J46" i="13"/>
  <c r="K46" i="13"/>
  <c r="L46" i="13"/>
  <c r="M46" i="13"/>
  <c r="N46" i="13"/>
  <c r="O46" i="13"/>
  <c r="P46" i="13"/>
  <c r="Q46" i="13"/>
  <c r="E47" i="13"/>
  <c r="D47" i="13" s="1"/>
  <c r="F47" i="13"/>
  <c r="G47" i="13"/>
  <c r="H47" i="13"/>
  <c r="I47" i="13"/>
  <c r="J47" i="13"/>
  <c r="K47" i="13"/>
  <c r="L47" i="13"/>
  <c r="M47" i="13"/>
  <c r="N47" i="13"/>
  <c r="O47" i="13"/>
  <c r="P47" i="13"/>
  <c r="Q47" i="13"/>
  <c r="F48" i="13"/>
  <c r="G48" i="13"/>
  <c r="G49" i="13" s="1"/>
  <c r="G50" i="13" s="1"/>
  <c r="G51" i="13" s="1"/>
  <c r="H48" i="13"/>
  <c r="H49" i="13" s="1"/>
  <c r="H50" i="13" s="1"/>
  <c r="H51" i="13" s="1"/>
  <c r="I48" i="13"/>
  <c r="I49" i="13" s="1"/>
  <c r="I50" i="13" s="1"/>
  <c r="I51" i="13" s="1"/>
  <c r="J48" i="13"/>
  <c r="J49" i="13" s="1"/>
  <c r="J50" i="13" s="1"/>
  <c r="J51" i="13" s="1"/>
  <c r="K48" i="13"/>
  <c r="K49" i="13" s="1"/>
  <c r="K50" i="13" s="1"/>
  <c r="K51" i="13" s="1"/>
  <c r="L48" i="13"/>
  <c r="L49" i="13" s="1"/>
  <c r="L50" i="13" s="1"/>
  <c r="L51" i="13" s="1"/>
  <c r="M48" i="13"/>
  <c r="M49" i="13" s="1"/>
  <c r="M50" i="13" s="1"/>
  <c r="M51" i="13" s="1"/>
  <c r="N48" i="13"/>
  <c r="N49" i="13" s="1"/>
  <c r="N50" i="13" s="1"/>
  <c r="N51" i="13" s="1"/>
  <c r="O48" i="13"/>
  <c r="O49" i="13" s="1"/>
  <c r="O50" i="13" s="1"/>
  <c r="O51" i="13" s="1"/>
  <c r="P48" i="13"/>
  <c r="P49" i="13" s="1"/>
  <c r="P50" i="13" s="1"/>
  <c r="P51" i="13" s="1"/>
  <c r="Q48" i="13"/>
  <c r="Q49" i="13" s="1"/>
  <c r="Q50" i="13" s="1"/>
  <c r="Q51" i="13" s="1"/>
  <c r="D53" i="13"/>
  <c r="E53" i="13"/>
  <c r="F53" i="13"/>
  <c r="G53" i="13"/>
  <c r="H53" i="13"/>
  <c r="I53" i="13"/>
  <c r="J53" i="13"/>
  <c r="K53" i="13"/>
  <c r="L53" i="13"/>
  <c r="M53" i="13"/>
  <c r="N53" i="13"/>
  <c r="O53" i="13"/>
  <c r="P53" i="13"/>
  <c r="Q53" i="13"/>
  <c r="D54" i="13"/>
  <c r="E54" i="13"/>
  <c r="F54" i="13"/>
  <c r="G54" i="13"/>
  <c r="H54" i="13"/>
  <c r="I54" i="13"/>
  <c r="J54" i="13"/>
  <c r="K54" i="13"/>
  <c r="L54" i="13"/>
  <c r="M54" i="13"/>
  <c r="N54" i="13"/>
  <c r="O54" i="13"/>
  <c r="P54" i="13"/>
  <c r="Q54" i="13"/>
  <c r="D55" i="13"/>
  <c r="E55" i="13"/>
  <c r="F55" i="13"/>
  <c r="G55" i="13"/>
  <c r="H55" i="13"/>
  <c r="I55" i="13"/>
  <c r="J55" i="13"/>
  <c r="K55" i="13"/>
  <c r="L55" i="13"/>
  <c r="M55" i="13"/>
  <c r="N55" i="13"/>
  <c r="O55" i="13"/>
  <c r="P55" i="13"/>
  <c r="Q55" i="13"/>
  <c r="E56" i="13"/>
  <c r="F56" i="13"/>
  <c r="F57" i="13" s="1"/>
  <c r="F58" i="13" s="1"/>
  <c r="F59" i="13" s="1"/>
  <c r="G56" i="13"/>
  <c r="G57" i="13" s="1"/>
  <c r="G58" i="13" s="1"/>
  <c r="G59" i="13" s="1"/>
  <c r="H56" i="13"/>
  <c r="H57" i="13" s="1"/>
  <c r="H58" i="13" s="1"/>
  <c r="H59" i="13" s="1"/>
  <c r="I56" i="13"/>
  <c r="I57" i="13" s="1"/>
  <c r="I58" i="13" s="1"/>
  <c r="I59" i="13" s="1"/>
  <c r="J56" i="13"/>
  <c r="J57" i="13" s="1"/>
  <c r="J58" i="13" s="1"/>
  <c r="J59" i="13" s="1"/>
  <c r="K56" i="13"/>
  <c r="K57" i="13" s="1"/>
  <c r="K58" i="13" s="1"/>
  <c r="K59" i="13" s="1"/>
  <c r="L56" i="13"/>
  <c r="L57" i="13" s="1"/>
  <c r="L58" i="13" s="1"/>
  <c r="L59" i="13" s="1"/>
  <c r="M56" i="13"/>
  <c r="M57" i="13" s="1"/>
  <c r="M58" i="13" s="1"/>
  <c r="M59" i="13" s="1"/>
  <c r="N56" i="13"/>
  <c r="N57" i="13" s="1"/>
  <c r="N58" i="13" s="1"/>
  <c r="N59" i="13" s="1"/>
  <c r="O56" i="13"/>
  <c r="O57" i="13" s="1"/>
  <c r="O58" i="13" s="1"/>
  <c r="O59" i="13" s="1"/>
  <c r="P56" i="13"/>
  <c r="P57" i="13" s="1"/>
  <c r="P58" i="13" s="1"/>
  <c r="P59" i="13" s="1"/>
  <c r="Q56" i="13"/>
  <c r="Q57" i="13" s="1"/>
  <c r="Q58" i="13" s="1"/>
  <c r="Q59" i="13" s="1"/>
  <c r="D62" i="13"/>
  <c r="E62" i="13"/>
  <c r="F62" i="13"/>
  <c r="G62" i="13"/>
  <c r="H62" i="13"/>
  <c r="I62" i="13"/>
  <c r="J62" i="13"/>
  <c r="K62" i="13"/>
  <c r="L62" i="13"/>
  <c r="M62" i="13"/>
  <c r="N62" i="13"/>
  <c r="O62" i="13"/>
  <c r="P62" i="13"/>
  <c r="Q62" i="13"/>
  <c r="E63" i="13"/>
  <c r="D63" i="13" s="1"/>
  <c r="F63" i="13"/>
  <c r="G63" i="13"/>
  <c r="H63" i="13"/>
  <c r="I63" i="13"/>
  <c r="J63" i="13"/>
  <c r="K63" i="13"/>
  <c r="L63" i="13"/>
  <c r="M63" i="13"/>
  <c r="N63" i="13"/>
  <c r="O63" i="13"/>
  <c r="P63" i="13"/>
  <c r="Q63" i="13"/>
  <c r="E64" i="13"/>
  <c r="D64" i="13" s="1"/>
  <c r="F64" i="13"/>
  <c r="G64" i="13"/>
  <c r="H64" i="13"/>
  <c r="I64" i="13"/>
  <c r="J64" i="13"/>
  <c r="K64" i="13"/>
  <c r="L64" i="13"/>
  <c r="M64" i="13"/>
  <c r="N64" i="13"/>
  <c r="O64" i="13"/>
  <c r="P64" i="13"/>
  <c r="Q64" i="13"/>
  <c r="F65" i="13"/>
  <c r="G65" i="13"/>
  <c r="G66" i="13" s="1"/>
  <c r="G67" i="13" s="1"/>
  <c r="G68" i="13" s="1"/>
  <c r="H65" i="13"/>
  <c r="H66" i="13" s="1"/>
  <c r="H67" i="13" s="1"/>
  <c r="H68" i="13" s="1"/>
  <c r="I65" i="13"/>
  <c r="I66" i="13" s="1"/>
  <c r="I67" i="13" s="1"/>
  <c r="I68" i="13" s="1"/>
  <c r="J65" i="13"/>
  <c r="J66" i="13" s="1"/>
  <c r="J67" i="13" s="1"/>
  <c r="J68" i="13" s="1"/>
  <c r="K65" i="13"/>
  <c r="K66" i="13" s="1"/>
  <c r="K67" i="13" s="1"/>
  <c r="K68" i="13" s="1"/>
  <c r="L65" i="13"/>
  <c r="L66" i="13" s="1"/>
  <c r="L67" i="13" s="1"/>
  <c r="L68" i="13" s="1"/>
  <c r="M65" i="13"/>
  <c r="M66" i="13" s="1"/>
  <c r="M67" i="13" s="1"/>
  <c r="M68" i="13" s="1"/>
  <c r="N65" i="13"/>
  <c r="N66" i="13" s="1"/>
  <c r="N67" i="13" s="1"/>
  <c r="N68" i="13" s="1"/>
  <c r="O65" i="13"/>
  <c r="O66" i="13" s="1"/>
  <c r="O67" i="13" s="1"/>
  <c r="O68" i="13" s="1"/>
  <c r="P65" i="13"/>
  <c r="P66" i="13" s="1"/>
  <c r="P67" i="13" s="1"/>
  <c r="P68" i="13" s="1"/>
  <c r="Q65" i="13"/>
  <c r="Q66" i="13" s="1"/>
  <c r="Q67" i="13" s="1"/>
  <c r="Q68" i="13" s="1"/>
  <c r="D70" i="13"/>
  <c r="E70" i="13"/>
  <c r="F70" i="13"/>
  <c r="G70" i="13"/>
  <c r="H70" i="13"/>
  <c r="I70" i="13"/>
  <c r="J70" i="13"/>
  <c r="K70" i="13"/>
  <c r="L70" i="13"/>
  <c r="M70" i="13"/>
  <c r="N70" i="13"/>
  <c r="O70" i="13"/>
  <c r="P70" i="13"/>
  <c r="Q70" i="13"/>
  <c r="D71" i="13"/>
  <c r="E71" i="13"/>
  <c r="F71" i="13"/>
  <c r="G71" i="13"/>
  <c r="H71" i="13"/>
  <c r="I71" i="13"/>
  <c r="J71" i="13"/>
  <c r="K71" i="13"/>
  <c r="L71" i="13"/>
  <c r="M71" i="13"/>
  <c r="N71" i="13"/>
  <c r="O71" i="13"/>
  <c r="P71" i="13"/>
  <c r="Q71" i="13"/>
  <c r="D72" i="13"/>
  <c r="E72" i="13"/>
  <c r="F72" i="13"/>
  <c r="G72" i="13"/>
  <c r="H72" i="13"/>
  <c r="I72" i="13"/>
  <c r="J72" i="13"/>
  <c r="K72" i="13"/>
  <c r="L72" i="13"/>
  <c r="M72" i="13"/>
  <c r="N72" i="13"/>
  <c r="O72" i="13"/>
  <c r="P72" i="13"/>
  <c r="Q72" i="13"/>
  <c r="E73" i="13"/>
  <c r="F73" i="13"/>
  <c r="F74" i="13" s="1"/>
  <c r="F75" i="13" s="1"/>
  <c r="F76" i="13" s="1"/>
  <c r="G73" i="13"/>
  <c r="G74" i="13" s="1"/>
  <c r="G75" i="13" s="1"/>
  <c r="G76" i="13" s="1"/>
  <c r="H73" i="13"/>
  <c r="H74" i="13" s="1"/>
  <c r="H75" i="13" s="1"/>
  <c r="H76" i="13" s="1"/>
  <c r="I73" i="13"/>
  <c r="I74" i="13" s="1"/>
  <c r="I75" i="13" s="1"/>
  <c r="I76" i="13" s="1"/>
  <c r="J73" i="13"/>
  <c r="J74" i="13" s="1"/>
  <c r="J75" i="13" s="1"/>
  <c r="J76" i="13" s="1"/>
  <c r="K73" i="13"/>
  <c r="K74" i="13" s="1"/>
  <c r="K75" i="13" s="1"/>
  <c r="K76" i="13" s="1"/>
  <c r="L73" i="13"/>
  <c r="L74" i="13" s="1"/>
  <c r="L75" i="13" s="1"/>
  <c r="L76" i="13" s="1"/>
  <c r="M73" i="13"/>
  <c r="M74" i="13" s="1"/>
  <c r="M75" i="13" s="1"/>
  <c r="M76" i="13" s="1"/>
  <c r="N73" i="13"/>
  <c r="N74" i="13" s="1"/>
  <c r="N75" i="13" s="1"/>
  <c r="N76" i="13" s="1"/>
  <c r="O73" i="13"/>
  <c r="O74" i="13" s="1"/>
  <c r="O75" i="13" s="1"/>
  <c r="O76" i="13" s="1"/>
  <c r="P73" i="13"/>
  <c r="P74" i="13" s="1"/>
  <c r="P75" i="13" s="1"/>
  <c r="P76" i="13" s="1"/>
  <c r="Q73" i="13"/>
  <c r="Q74" i="13" s="1"/>
  <c r="Q75" i="13" s="1"/>
  <c r="Q76" i="13" s="1"/>
  <c r="D79" i="13"/>
  <c r="E79" i="13"/>
  <c r="F79" i="13"/>
  <c r="G79" i="13"/>
  <c r="H79" i="13"/>
  <c r="I79" i="13"/>
  <c r="J79" i="13"/>
  <c r="K79" i="13"/>
  <c r="L79" i="13"/>
  <c r="M79" i="13"/>
  <c r="N79" i="13"/>
  <c r="O79" i="13"/>
  <c r="P79" i="13"/>
  <c r="Q79" i="13"/>
  <c r="E80" i="13"/>
  <c r="D80" i="13" s="1"/>
  <c r="F80" i="13"/>
  <c r="G80" i="13"/>
  <c r="H80" i="13"/>
  <c r="I80" i="13"/>
  <c r="J80" i="13"/>
  <c r="K80" i="13"/>
  <c r="L80" i="13"/>
  <c r="M80" i="13"/>
  <c r="N80" i="13"/>
  <c r="O80" i="13"/>
  <c r="P80" i="13"/>
  <c r="Q80" i="13"/>
  <c r="E81" i="13"/>
  <c r="D81" i="13" s="1"/>
  <c r="F81" i="13"/>
  <c r="G81" i="13"/>
  <c r="H81" i="13"/>
  <c r="I81" i="13"/>
  <c r="J81" i="13"/>
  <c r="K81" i="13"/>
  <c r="L81" i="13"/>
  <c r="M81" i="13"/>
  <c r="N81" i="13"/>
  <c r="O81" i="13"/>
  <c r="P81" i="13"/>
  <c r="Q81" i="13"/>
  <c r="F82" i="13"/>
  <c r="G82" i="13"/>
  <c r="G83" i="13" s="1"/>
  <c r="G84" i="13" s="1"/>
  <c r="G85" i="13" s="1"/>
  <c r="H82" i="13"/>
  <c r="H83" i="13" s="1"/>
  <c r="H84" i="13" s="1"/>
  <c r="H85" i="13" s="1"/>
  <c r="I82" i="13"/>
  <c r="I83" i="13" s="1"/>
  <c r="I84" i="13" s="1"/>
  <c r="I85" i="13" s="1"/>
  <c r="J82" i="13"/>
  <c r="J83" i="13" s="1"/>
  <c r="J84" i="13" s="1"/>
  <c r="J85" i="13" s="1"/>
  <c r="K82" i="13"/>
  <c r="K83" i="13" s="1"/>
  <c r="K84" i="13" s="1"/>
  <c r="K85" i="13" s="1"/>
  <c r="L82" i="13"/>
  <c r="L83" i="13" s="1"/>
  <c r="L84" i="13" s="1"/>
  <c r="L85" i="13" s="1"/>
  <c r="M82" i="13"/>
  <c r="M83" i="13" s="1"/>
  <c r="M84" i="13" s="1"/>
  <c r="M85" i="13" s="1"/>
  <c r="N82" i="13"/>
  <c r="N83" i="13" s="1"/>
  <c r="N84" i="13" s="1"/>
  <c r="N85" i="13" s="1"/>
  <c r="O82" i="13"/>
  <c r="O83" i="13" s="1"/>
  <c r="O84" i="13" s="1"/>
  <c r="O85" i="13" s="1"/>
  <c r="P82" i="13"/>
  <c r="P83" i="13" s="1"/>
  <c r="P84" i="13" s="1"/>
  <c r="P85" i="13" s="1"/>
  <c r="Q82" i="13"/>
  <c r="Q83" i="13" s="1"/>
  <c r="Q84" i="13" s="1"/>
  <c r="Q85" i="13" s="1"/>
  <c r="D87" i="13"/>
  <c r="E87" i="13"/>
  <c r="F87" i="13"/>
  <c r="G87" i="13"/>
  <c r="H87" i="13"/>
  <c r="I87" i="13"/>
  <c r="J87" i="13"/>
  <c r="K87" i="13"/>
  <c r="L87" i="13"/>
  <c r="M87" i="13"/>
  <c r="N87" i="13"/>
  <c r="O87" i="13"/>
  <c r="P87" i="13"/>
  <c r="Q87" i="13"/>
  <c r="D88" i="13"/>
  <c r="E88" i="13"/>
  <c r="F88" i="13"/>
  <c r="G88" i="13"/>
  <c r="H88" i="13"/>
  <c r="I88" i="13"/>
  <c r="J88" i="13"/>
  <c r="K88" i="13"/>
  <c r="L88" i="13"/>
  <c r="M88" i="13"/>
  <c r="N88" i="13"/>
  <c r="O88" i="13"/>
  <c r="P88" i="13"/>
  <c r="Q88" i="13"/>
  <c r="D89" i="13"/>
  <c r="E89" i="13"/>
  <c r="F89" i="13"/>
  <c r="G89" i="13"/>
  <c r="H89" i="13"/>
  <c r="I89" i="13"/>
  <c r="J89" i="13"/>
  <c r="K89" i="13"/>
  <c r="L89" i="13"/>
  <c r="M89" i="13"/>
  <c r="N89" i="13"/>
  <c r="O89" i="13"/>
  <c r="P89" i="13"/>
  <c r="Q89" i="13"/>
  <c r="E90" i="13"/>
  <c r="F90" i="13"/>
  <c r="F91" i="13" s="1"/>
  <c r="F92" i="13" s="1"/>
  <c r="F93" i="13" s="1"/>
  <c r="G90" i="13"/>
  <c r="G91" i="13" s="1"/>
  <c r="G92" i="13" s="1"/>
  <c r="G93" i="13" s="1"/>
  <c r="H90" i="13"/>
  <c r="H91" i="13" s="1"/>
  <c r="H92" i="13" s="1"/>
  <c r="H93" i="13" s="1"/>
  <c r="I90" i="13"/>
  <c r="I91" i="13" s="1"/>
  <c r="I92" i="13" s="1"/>
  <c r="I93" i="13" s="1"/>
  <c r="J90" i="13"/>
  <c r="J91" i="13" s="1"/>
  <c r="J92" i="13" s="1"/>
  <c r="J93" i="13" s="1"/>
  <c r="K90" i="13"/>
  <c r="K91" i="13" s="1"/>
  <c r="K92" i="13" s="1"/>
  <c r="K93" i="13" s="1"/>
  <c r="L90" i="13"/>
  <c r="L91" i="13" s="1"/>
  <c r="L92" i="13" s="1"/>
  <c r="L93" i="13" s="1"/>
  <c r="M90" i="13"/>
  <c r="M91" i="13" s="1"/>
  <c r="M92" i="13" s="1"/>
  <c r="M93" i="13" s="1"/>
  <c r="N90" i="13"/>
  <c r="N91" i="13" s="1"/>
  <c r="N92" i="13" s="1"/>
  <c r="N93" i="13" s="1"/>
  <c r="O90" i="13"/>
  <c r="O91" i="13" s="1"/>
  <c r="O92" i="13" s="1"/>
  <c r="O93" i="13" s="1"/>
  <c r="P90" i="13"/>
  <c r="P91" i="13" s="1"/>
  <c r="P92" i="13" s="1"/>
  <c r="P93" i="13" s="1"/>
  <c r="Q90" i="13"/>
  <c r="Q91" i="13" s="1"/>
  <c r="Q92" i="13" s="1"/>
  <c r="Q93" i="13" s="1"/>
  <c r="D96" i="13"/>
  <c r="E96" i="13"/>
  <c r="F96" i="13"/>
  <c r="G96" i="13"/>
  <c r="H96" i="13"/>
  <c r="I96" i="13"/>
  <c r="J96" i="13"/>
  <c r="K96" i="13"/>
  <c r="L96" i="13"/>
  <c r="M96" i="13"/>
  <c r="N96" i="13"/>
  <c r="O96" i="13"/>
  <c r="P96" i="13"/>
  <c r="Q96" i="13"/>
  <c r="E97" i="13"/>
  <c r="D97" i="13" s="1"/>
  <c r="F97" i="13"/>
  <c r="G97" i="13"/>
  <c r="H97" i="13"/>
  <c r="I97" i="13"/>
  <c r="J97" i="13"/>
  <c r="K97" i="13"/>
  <c r="L97" i="13"/>
  <c r="M97" i="13"/>
  <c r="N97" i="13"/>
  <c r="O97" i="13"/>
  <c r="P97" i="13"/>
  <c r="Q97" i="13"/>
  <c r="E98" i="13"/>
  <c r="D98" i="13" s="1"/>
  <c r="F98" i="13"/>
  <c r="G98" i="13"/>
  <c r="H98" i="13"/>
  <c r="I98" i="13"/>
  <c r="J98" i="13"/>
  <c r="K98" i="13"/>
  <c r="L98" i="13"/>
  <c r="M98" i="13"/>
  <c r="N98" i="13"/>
  <c r="O98" i="13"/>
  <c r="P98" i="13"/>
  <c r="Q98" i="13"/>
  <c r="F99" i="13"/>
  <c r="G99" i="13"/>
  <c r="G100" i="13" s="1"/>
  <c r="G101" i="13" s="1"/>
  <c r="G102" i="13" s="1"/>
  <c r="H99" i="13"/>
  <c r="H100" i="13" s="1"/>
  <c r="H101" i="13" s="1"/>
  <c r="H102" i="13" s="1"/>
  <c r="I99" i="13"/>
  <c r="I100" i="13" s="1"/>
  <c r="I101" i="13" s="1"/>
  <c r="I102" i="13" s="1"/>
  <c r="J99" i="13"/>
  <c r="J100" i="13" s="1"/>
  <c r="J101" i="13" s="1"/>
  <c r="J102" i="13" s="1"/>
  <c r="K99" i="13"/>
  <c r="K100" i="13" s="1"/>
  <c r="K101" i="13" s="1"/>
  <c r="K102" i="13" s="1"/>
  <c r="L99" i="13"/>
  <c r="L100" i="13" s="1"/>
  <c r="L101" i="13" s="1"/>
  <c r="L102" i="13" s="1"/>
  <c r="M99" i="13"/>
  <c r="M100" i="13" s="1"/>
  <c r="M101" i="13" s="1"/>
  <c r="M102" i="13" s="1"/>
  <c r="N99" i="13"/>
  <c r="N100" i="13" s="1"/>
  <c r="N101" i="13" s="1"/>
  <c r="N102" i="13" s="1"/>
  <c r="O99" i="13"/>
  <c r="O100" i="13" s="1"/>
  <c r="O101" i="13" s="1"/>
  <c r="O102" i="13" s="1"/>
  <c r="P99" i="13"/>
  <c r="P100" i="13" s="1"/>
  <c r="P101" i="13" s="1"/>
  <c r="P102" i="13" s="1"/>
  <c r="Q99" i="13"/>
  <c r="Q100" i="13" s="1"/>
  <c r="Q101" i="13" s="1"/>
  <c r="Q102" i="13" s="1"/>
  <c r="D104" i="13"/>
  <c r="E104" i="13"/>
  <c r="F104" i="13"/>
  <c r="G104" i="13"/>
  <c r="H104" i="13"/>
  <c r="I104" i="13"/>
  <c r="J104" i="13"/>
  <c r="K104" i="13"/>
  <c r="L104" i="13"/>
  <c r="M104" i="13"/>
  <c r="N104" i="13"/>
  <c r="O104" i="13"/>
  <c r="P104" i="13"/>
  <c r="Q104" i="13"/>
  <c r="D105" i="13"/>
  <c r="E105" i="13"/>
  <c r="F105" i="13"/>
  <c r="G105" i="13"/>
  <c r="H105" i="13"/>
  <c r="I105" i="13"/>
  <c r="J105" i="13"/>
  <c r="K105" i="13"/>
  <c r="L105" i="13"/>
  <c r="M105" i="13"/>
  <c r="N105" i="13"/>
  <c r="O105" i="13"/>
  <c r="P105" i="13"/>
  <c r="Q105" i="13"/>
  <c r="D106" i="13"/>
  <c r="E106" i="13"/>
  <c r="F106" i="13"/>
  <c r="G106" i="13"/>
  <c r="H106" i="13"/>
  <c r="I106" i="13"/>
  <c r="J106" i="13"/>
  <c r="K106" i="13"/>
  <c r="L106" i="13"/>
  <c r="M106" i="13"/>
  <c r="N106" i="13"/>
  <c r="O106" i="13"/>
  <c r="P106" i="13"/>
  <c r="Q106" i="13"/>
  <c r="E107" i="13"/>
  <c r="F107" i="13"/>
  <c r="F108" i="13" s="1"/>
  <c r="F109" i="13" s="1"/>
  <c r="F110" i="13" s="1"/>
  <c r="G107" i="13"/>
  <c r="G108" i="13" s="1"/>
  <c r="G109" i="13" s="1"/>
  <c r="G110" i="13" s="1"/>
  <c r="H107" i="13"/>
  <c r="H108" i="13" s="1"/>
  <c r="H109" i="13" s="1"/>
  <c r="H110" i="13" s="1"/>
  <c r="I107" i="13"/>
  <c r="I108" i="13" s="1"/>
  <c r="I109" i="13" s="1"/>
  <c r="I110" i="13" s="1"/>
  <c r="J107" i="13"/>
  <c r="J108" i="13" s="1"/>
  <c r="J109" i="13" s="1"/>
  <c r="J110" i="13" s="1"/>
  <c r="K107" i="13"/>
  <c r="K108" i="13" s="1"/>
  <c r="K109" i="13" s="1"/>
  <c r="K110" i="13" s="1"/>
  <c r="L107" i="13"/>
  <c r="L108" i="13" s="1"/>
  <c r="L109" i="13" s="1"/>
  <c r="L110" i="13" s="1"/>
  <c r="M107" i="13"/>
  <c r="M108" i="13" s="1"/>
  <c r="M109" i="13" s="1"/>
  <c r="M110" i="13" s="1"/>
  <c r="N107" i="13"/>
  <c r="N108" i="13" s="1"/>
  <c r="N109" i="13" s="1"/>
  <c r="N110" i="13" s="1"/>
  <c r="O107" i="13"/>
  <c r="O108" i="13" s="1"/>
  <c r="O109" i="13" s="1"/>
  <c r="O110" i="13" s="1"/>
  <c r="P107" i="13"/>
  <c r="P108" i="13" s="1"/>
  <c r="P109" i="13" s="1"/>
  <c r="P110" i="13" s="1"/>
  <c r="Q107" i="13"/>
  <c r="Q108" i="13" s="1"/>
  <c r="Q109" i="13" s="1"/>
  <c r="Q110" i="13" s="1"/>
  <c r="D113" i="13"/>
  <c r="E113" i="13"/>
  <c r="F113" i="13"/>
  <c r="G113" i="13"/>
  <c r="H113" i="13"/>
  <c r="I113" i="13"/>
  <c r="J113" i="13"/>
  <c r="K113" i="13"/>
  <c r="L113" i="13"/>
  <c r="M113" i="13"/>
  <c r="N113" i="13"/>
  <c r="O113" i="13"/>
  <c r="P113" i="13"/>
  <c r="Q113" i="13"/>
  <c r="E114" i="13"/>
  <c r="D114" i="13" s="1"/>
  <c r="F114" i="13"/>
  <c r="G114" i="13"/>
  <c r="H114" i="13"/>
  <c r="I114" i="13"/>
  <c r="J114" i="13"/>
  <c r="K114" i="13"/>
  <c r="L114" i="13"/>
  <c r="M114" i="13"/>
  <c r="N114" i="13"/>
  <c r="O114" i="13"/>
  <c r="P114" i="13"/>
  <c r="Q114" i="13"/>
  <c r="E115" i="13"/>
  <c r="D115" i="13" s="1"/>
  <c r="F115" i="13"/>
  <c r="G115" i="13"/>
  <c r="H115" i="13"/>
  <c r="I115" i="13"/>
  <c r="J115" i="13"/>
  <c r="K115" i="13"/>
  <c r="L115" i="13"/>
  <c r="M115" i="13"/>
  <c r="N115" i="13"/>
  <c r="O115" i="13"/>
  <c r="P115" i="13"/>
  <c r="Q115" i="13"/>
  <c r="F116" i="13"/>
  <c r="G116" i="13"/>
  <c r="G117" i="13" s="1"/>
  <c r="G118" i="13" s="1"/>
  <c r="G119" i="13" s="1"/>
  <c r="H116" i="13"/>
  <c r="H117" i="13" s="1"/>
  <c r="H118" i="13" s="1"/>
  <c r="H119" i="13" s="1"/>
  <c r="I116" i="13"/>
  <c r="I117" i="13" s="1"/>
  <c r="I118" i="13" s="1"/>
  <c r="I119" i="13" s="1"/>
  <c r="J116" i="13"/>
  <c r="J117" i="13" s="1"/>
  <c r="J118" i="13" s="1"/>
  <c r="J119" i="13" s="1"/>
  <c r="K116" i="13"/>
  <c r="K117" i="13" s="1"/>
  <c r="K118" i="13" s="1"/>
  <c r="K119" i="13" s="1"/>
  <c r="L116" i="13"/>
  <c r="L117" i="13" s="1"/>
  <c r="L118" i="13" s="1"/>
  <c r="L119" i="13" s="1"/>
  <c r="M116" i="13"/>
  <c r="M117" i="13" s="1"/>
  <c r="M118" i="13" s="1"/>
  <c r="M119" i="13" s="1"/>
  <c r="N116" i="13"/>
  <c r="N117" i="13" s="1"/>
  <c r="N118" i="13" s="1"/>
  <c r="N119" i="13" s="1"/>
  <c r="O116" i="13"/>
  <c r="O117" i="13" s="1"/>
  <c r="O118" i="13" s="1"/>
  <c r="O119" i="13" s="1"/>
  <c r="P116" i="13"/>
  <c r="P117" i="13" s="1"/>
  <c r="P118" i="13" s="1"/>
  <c r="P119" i="13" s="1"/>
  <c r="Q116" i="13"/>
  <c r="Q117" i="13" s="1"/>
  <c r="Q118" i="13" s="1"/>
  <c r="Q119" i="13" s="1"/>
  <c r="D121" i="13"/>
  <c r="E121" i="13"/>
  <c r="F121" i="13"/>
  <c r="G121" i="13"/>
  <c r="H121" i="13"/>
  <c r="I121" i="13"/>
  <c r="J121" i="13"/>
  <c r="K121" i="13"/>
  <c r="L121" i="13"/>
  <c r="M121" i="13"/>
  <c r="N121" i="13"/>
  <c r="O121" i="13"/>
  <c r="P121" i="13"/>
  <c r="Q121" i="13"/>
  <c r="D122" i="13"/>
  <c r="E122" i="13"/>
  <c r="F122" i="13"/>
  <c r="G122" i="13"/>
  <c r="H122" i="13"/>
  <c r="I122" i="13"/>
  <c r="J122" i="13"/>
  <c r="K122" i="13"/>
  <c r="L122" i="13"/>
  <c r="M122" i="13"/>
  <c r="N122" i="13"/>
  <c r="O122" i="13"/>
  <c r="P122" i="13"/>
  <c r="Q122" i="13"/>
  <c r="D123" i="13"/>
  <c r="E123" i="13"/>
  <c r="F123" i="13"/>
  <c r="G123" i="13"/>
  <c r="H123" i="13"/>
  <c r="I123" i="13"/>
  <c r="J123" i="13"/>
  <c r="K123" i="13"/>
  <c r="L123" i="13"/>
  <c r="M123" i="13"/>
  <c r="N123" i="13"/>
  <c r="O123" i="13"/>
  <c r="P123" i="13"/>
  <c r="Q123" i="13"/>
  <c r="E124" i="13"/>
  <c r="F124" i="13"/>
  <c r="F125" i="13" s="1"/>
  <c r="F126" i="13" s="1"/>
  <c r="F127" i="13" s="1"/>
  <c r="G124" i="13"/>
  <c r="G125" i="13" s="1"/>
  <c r="G126" i="13" s="1"/>
  <c r="G127" i="13" s="1"/>
  <c r="H124" i="13"/>
  <c r="H125" i="13" s="1"/>
  <c r="H126" i="13" s="1"/>
  <c r="H127" i="13" s="1"/>
  <c r="I124" i="13"/>
  <c r="I125" i="13" s="1"/>
  <c r="I126" i="13" s="1"/>
  <c r="I127" i="13" s="1"/>
  <c r="J124" i="13"/>
  <c r="J125" i="13" s="1"/>
  <c r="J126" i="13" s="1"/>
  <c r="J127" i="13" s="1"/>
  <c r="K124" i="13"/>
  <c r="K125" i="13" s="1"/>
  <c r="K126" i="13" s="1"/>
  <c r="K127" i="13" s="1"/>
  <c r="L124" i="13"/>
  <c r="L125" i="13" s="1"/>
  <c r="L126" i="13" s="1"/>
  <c r="L127" i="13" s="1"/>
  <c r="M124" i="13"/>
  <c r="M125" i="13" s="1"/>
  <c r="M126" i="13" s="1"/>
  <c r="M127" i="13" s="1"/>
  <c r="N124" i="13"/>
  <c r="N125" i="13" s="1"/>
  <c r="N126" i="13" s="1"/>
  <c r="N127" i="13" s="1"/>
  <c r="O124" i="13"/>
  <c r="O125" i="13" s="1"/>
  <c r="O126" i="13" s="1"/>
  <c r="O127" i="13" s="1"/>
  <c r="P124" i="13"/>
  <c r="P125" i="13" s="1"/>
  <c r="P126" i="13" s="1"/>
  <c r="P127" i="13" s="1"/>
  <c r="Q124" i="13"/>
  <c r="Q125" i="13" s="1"/>
  <c r="Q126" i="13" s="1"/>
  <c r="Q127" i="13" s="1"/>
  <c r="D130" i="13"/>
  <c r="E130" i="13"/>
  <c r="F130" i="13"/>
  <c r="G130" i="13"/>
  <c r="H130" i="13"/>
  <c r="I130" i="13"/>
  <c r="J130" i="13"/>
  <c r="K130" i="13"/>
  <c r="L130" i="13"/>
  <c r="M130" i="13"/>
  <c r="N130" i="13"/>
  <c r="O130" i="13"/>
  <c r="P130" i="13"/>
  <c r="Q130" i="13"/>
  <c r="E131" i="13"/>
  <c r="D131" i="13" s="1"/>
  <c r="F131" i="13"/>
  <c r="G131" i="13"/>
  <c r="H131" i="13"/>
  <c r="I131" i="13"/>
  <c r="J131" i="13"/>
  <c r="K131" i="13"/>
  <c r="L131" i="13"/>
  <c r="M131" i="13"/>
  <c r="N131" i="13"/>
  <c r="O131" i="13"/>
  <c r="P131" i="13"/>
  <c r="Q131" i="13"/>
  <c r="E132" i="13"/>
  <c r="D132" i="13" s="1"/>
  <c r="F132" i="13"/>
  <c r="G132" i="13"/>
  <c r="H132" i="13"/>
  <c r="I132" i="13"/>
  <c r="J132" i="13"/>
  <c r="K132" i="13"/>
  <c r="L132" i="13"/>
  <c r="M132" i="13"/>
  <c r="N132" i="13"/>
  <c r="O132" i="13"/>
  <c r="P132" i="13"/>
  <c r="Q132" i="13"/>
  <c r="F133" i="13"/>
  <c r="G133" i="13"/>
  <c r="G134" i="13" s="1"/>
  <c r="G135" i="13" s="1"/>
  <c r="G136" i="13" s="1"/>
  <c r="H133" i="13"/>
  <c r="H134" i="13" s="1"/>
  <c r="H135" i="13" s="1"/>
  <c r="H136" i="13" s="1"/>
  <c r="I133" i="13"/>
  <c r="I134" i="13" s="1"/>
  <c r="I135" i="13" s="1"/>
  <c r="I136" i="13" s="1"/>
  <c r="J133" i="13"/>
  <c r="J134" i="13" s="1"/>
  <c r="J135" i="13" s="1"/>
  <c r="J136" i="13" s="1"/>
  <c r="K133" i="13"/>
  <c r="K134" i="13" s="1"/>
  <c r="K135" i="13" s="1"/>
  <c r="K136" i="13" s="1"/>
  <c r="L133" i="13"/>
  <c r="L134" i="13" s="1"/>
  <c r="L135" i="13" s="1"/>
  <c r="L136" i="13" s="1"/>
  <c r="M133" i="13"/>
  <c r="M134" i="13" s="1"/>
  <c r="M135" i="13" s="1"/>
  <c r="M136" i="13" s="1"/>
  <c r="N133" i="13"/>
  <c r="N134" i="13" s="1"/>
  <c r="N135" i="13" s="1"/>
  <c r="N136" i="13" s="1"/>
  <c r="O133" i="13"/>
  <c r="O134" i="13" s="1"/>
  <c r="O135" i="13" s="1"/>
  <c r="O136" i="13" s="1"/>
  <c r="P133" i="13"/>
  <c r="P134" i="13" s="1"/>
  <c r="P135" i="13" s="1"/>
  <c r="P136" i="13" s="1"/>
  <c r="Q133" i="13"/>
  <c r="Q134" i="13" s="1"/>
  <c r="Q135" i="13" s="1"/>
  <c r="Q136" i="13" s="1"/>
  <c r="D138" i="13"/>
  <c r="E138" i="13"/>
  <c r="F138" i="13"/>
  <c r="G138" i="13"/>
  <c r="H138" i="13"/>
  <c r="I138" i="13"/>
  <c r="J138" i="13"/>
  <c r="K138" i="13"/>
  <c r="L138" i="13"/>
  <c r="M138" i="13"/>
  <c r="N138" i="13"/>
  <c r="O138" i="13"/>
  <c r="P138" i="13"/>
  <c r="Q138" i="13"/>
  <c r="D139" i="13"/>
  <c r="E139" i="13"/>
  <c r="F139" i="13"/>
  <c r="G139" i="13"/>
  <c r="H139" i="13"/>
  <c r="I139" i="13"/>
  <c r="J139" i="13"/>
  <c r="K139" i="13"/>
  <c r="L139" i="13"/>
  <c r="M139" i="13"/>
  <c r="N139" i="13"/>
  <c r="O139" i="13"/>
  <c r="P139" i="13"/>
  <c r="Q139" i="13"/>
  <c r="D140" i="13"/>
  <c r="E140" i="13"/>
  <c r="F140" i="13"/>
  <c r="G140" i="13"/>
  <c r="H140" i="13"/>
  <c r="I140" i="13"/>
  <c r="J140" i="13"/>
  <c r="K140" i="13"/>
  <c r="L140" i="13"/>
  <c r="M140" i="13"/>
  <c r="N140" i="13"/>
  <c r="O140" i="13"/>
  <c r="P140" i="13"/>
  <c r="Q140" i="13"/>
  <c r="E141" i="13"/>
  <c r="F141" i="13"/>
  <c r="F142" i="13" s="1"/>
  <c r="F143" i="13" s="1"/>
  <c r="F144" i="13" s="1"/>
  <c r="G141" i="13"/>
  <c r="G142" i="13" s="1"/>
  <c r="G143" i="13" s="1"/>
  <c r="G144" i="13" s="1"/>
  <c r="H141" i="13"/>
  <c r="H142" i="13" s="1"/>
  <c r="H143" i="13" s="1"/>
  <c r="H144" i="13" s="1"/>
  <c r="I141" i="13"/>
  <c r="I142" i="13" s="1"/>
  <c r="I143" i="13" s="1"/>
  <c r="I144" i="13" s="1"/>
  <c r="J141" i="13"/>
  <c r="J142" i="13" s="1"/>
  <c r="J143" i="13" s="1"/>
  <c r="J144" i="13" s="1"/>
  <c r="K141" i="13"/>
  <c r="K142" i="13" s="1"/>
  <c r="K143" i="13" s="1"/>
  <c r="K144" i="13" s="1"/>
  <c r="L141" i="13"/>
  <c r="L142" i="13" s="1"/>
  <c r="L143" i="13" s="1"/>
  <c r="L144" i="13" s="1"/>
  <c r="M141" i="13"/>
  <c r="M142" i="13" s="1"/>
  <c r="M143" i="13" s="1"/>
  <c r="M144" i="13" s="1"/>
  <c r="N141" i="13"/>
  <c r="N142" i="13" s="1"/>
  <c r="N143" i="13" s="1"/>
  <c r="N144" i="13" s="1"/>
  <c r="O141" i="13"/>
  <c r="O142" i="13" s="1"/>
  <c r="O143" i="13" s="1"/>
  <c r="O144" i="13" s="1"/>
  <c r="P141" i="13"/>
  <c r="P142" i="13" s="1"/>
  <c r="P143" i="13" s="1"/>
  <c r="P144" i="13" s="1"/>
  <c r="Q141" i="13"/>
  <c r="Q142" i="13" s="1"/>
  <c r="Q143" i="13" s="1"/>
  <c r="Q144" i="13" s="1"/>
  <c r="D147" i="13"/>
  <c r="E147" i="13"/>
  <c r="F147" i="13"/>
  <c r="G147" i="13"/>
  <c r="H147" i="13"/>
  <c r="I147" i="13"/>
  <c r="J147" i="13"/>
  <c r="K147" i="13"/>
  <c r="L147" i="13"/>
  <c r="M147" i="13"/>
  <c r="N147" i="13"/>
  <c r="O147" i="13"/>
  <c r="P147" i="13"/>
  <c r="Q147" i="13"/>
  <c r="E148" i="13"/>
  <c r="D148" i="13" s="1"/>
  <c r="F148" i="13"/>
  <c r="G148" i="13"/>
  <c r="H148" i="13"/>
  <c r="I148" i="13"/>
  <c r="J148" i="13"/>
  <c r="K148" i="13"/>
  <c r="L148" i="13"/>
  <c r="M148" i="13"/>
  <c r="N148" i="13"/>
  <c r="O148" i="13"/>
  <c r="P148" i="13"/>
  <c r="Q148" i="13"/>
  <c r="E149" i="13"/>
  <c r="D149" i="13" s="1"/>
  <c r="F149" i="13"/>
  <c r="G149" i="13"/>
  <c r="H149" i="13"/>
  <c r="I149" i="13"/>
  <c r="J149" i="13"/>
  <c r="K149" i="13"/>
  <c r="L149" i="13"/>
  <c r="M149" i="13"/>
  <c r="N149" i="13"/>
  <c r="O149" i="13"/>
  <c r="P149" i="13"/>
  <c r="Q149" i="13"/>
  <c r="F150" i="13"/>
  <c r="G150" i="13"/>
  <c r="G151" i="13" s="1"/>
  <c r="G152" i="13" s="1"/>
  <c r="G153" i="13" s="1"/>
  <c r="H150" i="13"/>
  <c r="H151" i="13" s="1"/>
  <c r="H152" i="13" s="1"/>
  <c r="H153" i="13" s="1"/>
  <c r="I150" i="13"/>
  <c r="I151" i="13" s="1"/>
  <c r="I152" i="13" s="1"/>
  <c r="I153" i="13" s="1"/>
  <c r="J150" i="13"/>
  <c r="J151" i="13" s="1"/>
  <c r="J152" i="13" s="1"/>
  <c r="J153" i="13" s="1"/>
  <c r="K150" i="13"/>
  <c r="K151" i="13" s="1"/>
  <c r="K152" i="13" s="1"/>
  <c r="K153" i="13" s="1"/>
  <c r="L150" i="13"/>
  <c r="L151" i="13" s="1"/>
  <c r="L152" i="13" s="1"/>
  <c r="L153" i="13" s="1"/>
  <c r="M150" i="13"/>
  <c r="M151" i="13" s="1"/>
  <c r="M152" i="13" s="1"/>
  <c r="M153" i="13" s="1"/>
  <c r="N150" i="13"/>
  <c r="N151" i="13" s="1"/>
  <c r="N152" i="13" s="1"/>
  <c r="N153" i="13" s="1"/>
  <c r="O150" i="13"/>
  <c r="O151" i="13" s="1"/>
  <c r="O152" i="13" s="1"/>
  <c r="O153" i="13" s="1"/>
  <c r="P150" i="13"/>
  <c r="P151" i="13" s="1"/>
  <c r="P152" i="13" s="1"/>
  <c r="P153" i="13" s="1"/>
  <c r="Q150" i="13"/>
  <c r="Q151" i="13" s="1"/>
  <c r="Q152" i="13" s="1"/>
  <c r="Q153" i="13" s="1"/>
  <c r="D155" i="13"/>
  <c r="E155" i="13"/>
  <c r="F155" i="13"/>
  <c r="G155" i="13"/>
  <c r="H155" i="13"/>
  <c r="I155" i="13"/>
  <c r="J155" i="13"/>
  <c r="K155" i="13"/>
  <c r="L155" i="13"/>
  <c r="M155" i="13"/>
  <c r="N155" i="13"/>
  <c r="O155" i="13"/>
  <c r="P155" i="13"/>
  <c r="Q155" i="13"/>
  <c r="D156" i="13"/>
  <c r="E156" i="13"/>
  <c r="F156" i="13"/>
  <c r="G156" i="13"/>
  <c r="H156" i="13"/>
  <c r="I156" i="13"/>
  <c r="J156" i="13"/>
  <c r="K156" i="13"/>
  <c r="L156" i="13"/>
  <c r="M156" i="13"/>
  <c r="N156" i="13"/>
  <c r="O156" i="13"/>
  <c r="P156" i="13"/>
  <c r="Q156" i="13"/>
  <c r="D157" i="13"/>
  <c r="E157" i="13"/>
  <c r="F157" i="13"/>
  <c r="G157" i="13"/>
  <c r="H157" i="13"/>
  <c r="I157" i="13"/>
  <c r="J157" i="13"/>
  <c r="K157" i="13"/>
  <c r="L157" i="13"/>
  <c r="M157" i="13"/>
  <c r="N157" i="13"/>
  <c r="O157" i="13"/>
  <c r="P157" i="13"/>
  <c r="Q157" i="13"/>
  <c r="E158" i="13"/>
  <c r="F158" i="13"/>
  <c r="F159" i="13" s="1"/>
  <c r="F160" i="13" s="1"/>
  <c r="F161" i="13" s="1"/>
  <c r="G158" i="13"/>
  <c r="G159" i="13" s="1"/>
  <c r="G160" i="13" s="1"/>
  <c r="G161" i="13" s="1"/>
  <c r="H158" i="13"/>
  <c r="H159" i="13" s="1"/>
  <c r="H160" i="13" s="1"/>
  <c r="H161" i="13" s="1"/>
  <c r="I158" i="13"/>
  <c r="I159" i="13" s="1"/>
  <c r="I160" i="13" s="1"/>
  <c r="I161" i="13" s="1"/>
  <c r="J158" i="13"/>
  <c r="J159" i="13" s="1"/>
  <c r="J160" i="13" s="1"/>
  <c r="J161" i="13" s="1"/>
  <c r="K158" i="13"/>
  <c r="K159" i="13" s="1"/>
  <c r="K160" i="13" s="1"/>
  <c r="K161" i="13" s="1"/>
  <c r="L158" i="13"/>
  <c r="L159" i="13" s="1"/>
  <c r="L160" i="13" s="1"/>
  <c r="L161" i="13" s="1"/>
  <c r="M158" i="13"/>
  <c r="M159" i="13" s="1"/>
  <c r="M160" i="13" s="1"/>
  <c r="M161" i="13" s="1"/>
  <c r="N158" i="13"/>
  <c r="N159" i="13" s="1"/>
  <c r="N160" i="13" s="1"/>
  <c r="N161" i="13" s="1"/>
  <c r="O158" i="13"/>
  <c r="O159" i="13" s="1"/>
  <c r="O160" i="13" s="1"/>
  <c r="O161" i="13" s="1"/>
  <c r="P158" i="13"/>
  <c r="P159" i="13" s="1"/>
  <c r="P160" i="13" s="1"/>
  <c r="P161" i="13" s="1"/>
  <c r="Q158" i="13"/>
  <c r="Q159" i="13" s="1"/>
  <c r="Q160" i="13" s="1"/>
  <c r="Q161" i="13" s="1"/>
  <c r="D164" i="13"/>
  <c r="E164" i="13"/>
  <c r="F164" i="13"/>
  <c r="G164" i="13"/>
  <c r="H164" i="13"/>
  <c r="I164" i="13"/>
  <c r="J164" i="13"/>
  <c r="K164" i="13"/>
  <c r="L164" i="13"/>
  <c r="M164" i="13"/>
  <c r="N164" i="13"/>
  <c r="O164" i="13"/>
  <c r="P164" i="13"/>
  <c r="Q164" i="13"/>
  <c r="E165" i="13"/>
  <c r="D165" i="13" s="1"/>
  <c r="F165" i="13"/>
  <c r="G165" i="13"/>
  <c r="H165" i="13"/>
  <c r="I165" i="13"/>
  <c r="J165" i="13"/>
  <c r="K165" i="13"/>
  <c r="L165" i="13"/>
  <c r="M165" i="13"/>
  <c r="N165" i="13"/>
  <c r="O165" i="13"/>
  <c r="P165" i="13"/>
  <c r="Q165" i="13"/>
  <c r="E166" i="13"/>
  <c r="D166" i="13" s="1"/>
  <c r="F166" i="13"/>
  <c r="G166" i="13"/>
  <c r="H166" i="13"/>
  <c r="I166" i="13"/>
  <c r="J166" i="13"/>
  <c r="K166" i="13"/>
  <c r="L166" i="13"/>
  <c r="M166" i="13"/>
  <c r="N166" i="13"/>
  <c r="O166" i="13"/>
  <c r="P166" i="13"/>
  <c r="Q166" i="13"/>
  <c r="F167" i="13"/>
  <c r="G167" i="13"/>
  <c r="G168" i="13" s="1"/>
  <c r="G169" i="13" s="1"/>
  <c r="G170" i="13" s="1"/>
  <c r="H167" i="13"/>
  <c r="H168" i="13" s="1"/>
  <c r="H169" i="13" s="1"/>
  <c r="H170" i="13" s="1"/>
  <c r="I167" i="13"/>
  <c r="I168" i="13" s="1"/>
  <c r="I169" i="13" s="1"/>
  <c r="I170" i="13" s="1"/>
  <c r="J167" i="13"/>
  <c r="J168" i="13" s="1"/>
  <c r="J169" i="13" s="1"/>
  <c r="J170" i="13" s="1"/>
  <c r="K167" i="13"/>
  <c r="K168" i="13" s="1"/>
  <c r="K169" i="13" s="1"/>
  <c r="K170" i="13" s="1"/>
  <c r="L167" i="13"/>
  <c r="L168" i="13" s="1"/>
  <c r="L169" i="13" s="1"/>
  <c r="L170" i="13" s="1"/>
  <c r="M167" i="13"/>
  <c r="M168" i="13" s="1"/>
  <c r="M169" i="13" s="1"/>
  <c r="M170" i="13" s="1"/>
  <c r="N167" i="13"/>
  <c r="N168" i="13" s="1"/>
  <c r="N169" i="13" s="1"/>
  <c r="N170" i="13" s="1"/>
  <c r="O167" i="13"/>
  <c r="O168" i="13" s="1"/>
  <c r="O169" i="13" s="1"/>
  <c r="O170" i="13" s="1"/>
  <c r="P167" i="13"/>
  <c r="P168" i="13" s="1"/>
  <c r="P169" i="13" s="1"/>
  <c r="P170" i="13" s="1"/>
  <c r="Q167" i="13"/>
  <c r="Q168" i="13" s="1"/>
  <c r="Q169" i="13" s="1"/>
  <c r="Q170" i="13" s="1"/>
  <c r="D172" i="13"/>
  <c r="E172" i="13"/>
  <c r="F172" i="13"/>
  <c r="G172" i="13"/>
  <c r="H172" i="13"/>
  <c r="I172" i="13"/>
  <c r="J172" i="13"/>
  <c r="K172" i="13"/>
  <c r="L172" i="13"/>
  <c r="M172" i="13"/>
  <c r="N172" i="13"/>
  <c r="O172" i="13"/>
  <c r="P172" i="13"/>
  <c r="Q172" i="13"/>
  <c r="D173" i="13"/>
  <c r="E173" i="13"/>
  <c r="F173" i="13"/>
  <c r="G173" i="13"/>
  <c r="H173" i="13"/>
  <c r="I173" i="13"/>
  <c r="J173" i="13"/>
  <c r="K173" i="13"/>
  <c r="L173" i="13"/>
  <c r="M173" i="13"/>
  <c r="N173" i="13"/>
  <c r="O173" i="13"/>
  <c r="P173" i="13"/>
  <c r="Q173" i="13"/>
  <c r="D174" i="13"/>
  <c r="E174" i="13"/>
  <c r="F174" i="13"/>
  <c r="G174" i="13"/>
  <c r="H174" i="13"/>
  <c r="I174" i="13"/>
  <c r="J174" i="13"/>
  <c r="K174" i="13"/>
  <c r="L174" i="13"/>
  <c r="M174" i="13"/>
  <c r="N174" i="13"/>
  <c r="O174" i="13"/>
  <c r="P174" i="13"/>
  <c r="Q174" i="13"/>
  <c r="E175" i="13"/>
  <c r="F175" i="13"/>
  <c r="F176" i="13" s="1"/>
  <c r="F177" i="13" s="1"/>
  <c r="F178" i="13" s="1"/>
  <c r="G175" i="13"/>
  <c r="G176" i="13" s="1"/>
  <c r="G177" i="13" s="1"/>
  <c r="G178" i="13" s="1"/>
  <c r="H175" i="13"/>
  <c r="H176" i="13" s="1"/>
  <c r="H177" i="13" s="1"/>
  <c r="H178" i="13" s="1"/>
  <c r="I175" i="13"/>
  <c r="I176" i="13" s="1"/>
  <c r="I177" i="13" s="1"/>
  <c r="I178" i="13" s="1"/>
  <c r="J175" i="13"/>
  <c r="J176" i="13" s="1"/>
  <c r="J177" i="13" s="1"/>
  <c r="J178" i="13" s="1"/>
  <c r="K175" i="13"/>
  <c r="K176" i="13" s="1"/>
  <c r="K177" i="13" s="1"/>
  <c r="K178" i="13" s="1"/>
  <c r="L175" i="13"/>
  <c r="L176" i="13" s="1"/>
  <c r="L177" i="13" s="1"/>
  <c r="L178" i="13" s="1"/>
  <c r="M175" i="13"/>
  <c r="M176" i="13" s="1"/>
  <c r="M177" i="13" s="1"/>
  <c r="M178" i="13" s="1"/>
  <c r="N175" i="13"/>
  <c r="N176" i="13" s="1"/>
  <c r="N177" i="13" s="1"/>
  <c r="N178" i="13" s="1"/>
  <c r="O175" i="13"/>
  <c r="O176" i="13" s="1"/>
  <c r="O177" i="13" s="1"/>
  <c r="O178" i="13" s="1"/>
  <c r="P175" i="13"/>
  <c r="P176" i="13" s="1"/>
  <c r="P177" i="13" s="1"/>
  <c r="P178" i="13" s="1"/>
  <c r="Q175" i="13"/>
  <c r="Q176" i="13" s="1"/>
  <c r="Q177" i="13" s="1"/>
  <c r="Q178" i="13" s="1"/>
  <c r="D181" i="13"/>
  <c r="E181" i="13"/>
  <c r="F181" i="13"/>
  <c r="G181" i="13"/>
  <c r="H181" i="13"/>
  <c r="I181" i="13"/>
  <c r="J181" i="13"/>
  <c r="K181" i="13"/>
  <c r="L181" i="13"/>
  <c r="M181" i="13"/>
  <c r="N181" i="13"/>
  <c r="O181" i="13"/>
  <c r="P181" i="13"/>
  <c r="Q181" i="13"/>
  <c r="E182" i="13"/>
  <c r="D182" i="13" s="1"/>
  <c r="F182" i="13"/>
  <c r="G182" i="13"/>
  <c r="H182" i="13"/>
  <c r="I182" i="13"/>
  <c r="J182" i="13"/>
  <c r="K182" i="13"/>
  <c r="L182" i="13"/>
  <c r="M182" i="13"/>
  <c r="N182" i="13"/>
  <c r="O182" i="13"/>
  <c r="P182" i="13"/>
  <c r="Q182" i="13"/>
  <c r="E183" i="13"/>
  <c r="D183" i="13" s="1"/>
  <c r="F183" i="13"/>
  <c r="G183" i="13"/>
  <c r="H183" i="13"/>
  <c r="I183" i="13"/>
  <c r="J183" i="13"/>
  <c r="K183" i="13"/>
  <c r="L183" i="13"/>
  <c r="M183" i="13"/>
  <c r="N183" i="13"/>
  <c r="O183" i="13"/>
  <c r="P183" i="13"/>
  <c r="Q183" i="13"/>
  <c r="F184" i="13"/>
  <c r="G184" i="13"/>
  <c r="G185" i="13" s="1"/>
  <c r="G186" i="13" s="1"/>
  <c r="G187" i="13" s="1"/>
  <c r="H184" i="13"/>
  <c r="H185" i="13" s="1"/>
  <c r="H186" i="13" s="1"/>
  <c r="H187" i="13" s="1"/>
  <c r="I184" i="13"/>
  <c r="I185" i="13" s="1"/>
  <c r="I186" i="13" s="1"/>
  <c r="I187" i="13" s="1"/>
  <c r="J184" i="13"/>
  <c r="J185" i="13" s="1"/>
  <c r="J186" i="13" s="1"/>
  <c r="J187" i="13" s="1"/>
  <c r="K184" i="13"/>
  <c r="K185" i="13" s="1"/>
  <c r="K186" i="13" s="1"/>
  <c r="K187" i="13" s="1"/>
  <c r="L184" i="13"/>
  <c r="L185" i="13" s="1"/>
  <c r="L186" i="13" s="1"/>
  <c r="L187" i="13" s="1"/>
  <c r="M184" i="13"/>
  <c r="M185" i="13" s="1"/>
  <c r="M186" i="13" s="1"/>
  <c r="M187" i="13" s="1"/>
  <c r="N184" i="13"/>
  <c r="N185" i="13" s="1"/>
  <c r="N186" i="13" s="1"/>
  <c r="N187" i="13" s="1"/>
  <c r="O184" i="13"/>
  <c r="O185" i="13" s="1"/>
  <c r="O186" i="13" s="1"/>
  <c r="O187" i="13" s="1"/>
  <c r="P184" i="13"/>
  <c r="P185" i="13" s="1"/>
  <c r="P186" i="13" s="1"/>
  <c r="P187" i="13" s="1"/>
  <c r="Q184" i="13"/>
  <c r="Q185" i="13" s="1"/>
  <c r="Q186" i="13" s="1"/>
  <c r="Q187" i="13" s="1"/>
  <c r="D189" i="13"/>
  <c r="E189" i="13"/>
  <c r="F189" i="13"/>
  <c r="G189" i="13"/>
  <c r="H189" i="13"/>
  <c r="I189" i="13"/>
  <c r="J189" i="13"/>
  <c r="K189" i="13"/>
  <c r="L189" i="13"/>
  <c r="M189" i="13"/>
  <c r="N189" i="13"/>
  <c r="O189" i="13"/>
  <c r="P189" i="13"/>
  <c r="Q189" i="13"/>
  <c r="D190" i="13"/>
  <c r="E190" i="13"/>
  <c r="F190" i="13"/>
  <c r="G190" i="13"/>
  <c r="H190" i="13"/>
  <c r="I190" i="13"/>
  <c r="J190" i="13"/>
  <c r="K190" i="13"/>
  <c r="L190" i="13"/>
  <c r="M190" i="13"/>
  <c r="N190" i="13"/>
  <c r="O190" i="13"/>
  <c r="P190" i="13"/>
  <c r="Q190" i="13"/>
  <c r="D191" i="13"/>
  <c r="E191" i="13"/>
  <c r="F191" i="13"/>
  <c r="G191" i="13"/>
  <c r="H191" i="13"/>
  <c r="I191" i="13"/>
  <c r="J191" i="13"/>
  <c r="K191" i="13"/>
  <c r="L191" i="13"/>
  <c r="M191" i="13"/>
  <c r="N191" i="13"/>
  <c r="O191" i="13"/>
  <c r="P191" i="13"/>
  <c r="Q191" i="13"/>
  <c r="E192" i="13"/>
  <c r="F192" i="13"/>
  <c r="F193" i="13" s="1"/>
  <c r="G192" i="13"/>
  <c r="G193" i="13" s="1"/>
  <c r="H192" i="13"/>
  <c r="H193" i="13" s="1"/>
  <c r="I192" i="13"/>
  <c r="I193" i="13" s="1"/>
  <c r="J192" i="13"/>
  <c r="J193" i="13" s="1"/>
  <c r="K192" i="13"/>
  <c r="K193" i="13" s="1"/>
  <c r="L192" i="13"/>
  <c r="L193" i="13" s="1"/>
  <c r="M192" i="13"/>
  <c r="M193" i="13" s="1"/>
  <c r="N192" i="13"/>
  <c r="N193" i="13" s="1"/>
  <c r="O192" i="13"/>
  <c r="O193" i="13" s="1"/>
  <c r="P192" i="13"/>
  <c r="P193" i="13" s="1"/>
  <c r="Q192" i="13"/>
  <c r="Q193" i="13" s="1"/>
  <c r="D198" i="13"/>
  <c r="E198" i="13"/>
  <c r="F198" i="13"/>
  <c r="G198" i="13"/>
  <c r="H198" i="13"/>
  <c r="I198" i="13"/>
  <c r="J198" i="13"/>
  <c r="K198" i="13"/>
  <c r="L198" i="13"/>
  <c r="M198" i="13"/>
  <c r="N198" i="13"/>
  <c r="O198" i="13"/>
  <c r="P198" i="13"/>
  <c r="Q198" i="13"/>
  <c r="E199" i="13"/>
  <c r="D199" i="13" s="1"/>
  <c r="F199" i="13"/>
  <c r="G199" i="13"/>
  <c r="H199" i="13"/>
  <c r="I199" i="13"/>
  <c r="J199" i="13"/>
  <c r="K199" i="13"/>
  <c r="L199" i="13"/>
  <c r="M199" i="13"/>
  <c r="N199" i="13"/>
  <c r="O199" i="13"/>
  <c r="P199" i="13"/>
  <c r="Q199" i="13"/>
  <c r="E200" i="13"/>
  <c r="D200" i="13" s="1"/>
  <c r="F200" i="13"/>
  <c r="G200" i="13"/>
  <c r="H200" i="13"/>
  <c r="I200" i="13"/>
  <c r="J200" i="13"/>
  <c r="K200" i="13"/>
  <c r="L200" i="13"/>
  <c r="M200" i="13"/>
  <c r="N200" i="13"/>
  <c r="O200" i="13"/>
  <c r="P200" i="13"/>
  <c r="Q200" i="13"/>
  <c r="F201" i="13"/>
  <c r="G201" i="13"/>
  <c r="G202" i="13" s="1"/>
  <c r="G203" i="13" s="1"/>
  <c r="G204" i="13" s="1"/>
  <c r="H201" i="13"/>
  <c r="H202" i="13" s="1"/>
  <c r="H203" i="13" s="1"/>
  <c r="H204" i="13" s="1"/>
  <c r="I201" i="13"/>
  <c r="I202" i="13" s="1"/>
  <c r="I203" i="13" s="1"/>
  <c r="I204" i="13" s="1"/>
  <c r="J201" i="13"/>
  <c r="J202" i="13" s="1"/>
  <c r="J203" i="13" s="1"/>
  <c r="J204" i="13" s="1"/>
  <c r="K201" i="13"/>
  <c r="K202" i="13" s="1"/>
  <c r="K203" i="13" s="1"/>
  <c r="K204" i="13" s="1"/>
  <c r="L201" i="13"/>
  <c r="L202" i="13" s="1"/>
  <c r="L203" i="13" s="1"/>
  <c r="L204" i="13" s="1"/>
  <c r="M201" i="13"/>
  <c r="M202" i="13" s="1"/>
  <c r="M203" i="13" s="1"/>
  <c r="M204" i="13" s="1"/>
  <c r="N201" i="13"/>
  <c r="N202" i="13" s="1"/>
  <c r="N203" i="13" s="1"/>
  <c r="N204" i="13" s="1"/>
  <c r="O201" i="13"/>
  <c r="O202" i="13" s="1"/>
  <c r="O203" i="13" s="1"/>
  <c r="O204" i="13" s="1"/>
  <c r="P201" i="13"/>
  <c r="P202" i="13" s="1"/>
  <c r="P203" i="13" s="1"/>
  <c r="P204" i="13" s="1"/>
  <c r="Q201" i="13"/>
  <c r="Q202" i="13" s="1"/>
  <c r="Q203" i="13" s="1"/>
  <c r="Q204" i="13" s="1"/>
  <c r="D206" i="13"/>
  <c r="E206" i="13"/>
  <c r="F206" i="13"/>
  <c r="G206" i="13"/>
  <c r="H206" i="13"/>
  <c r="I206" i="13"/>
  <c r="J206" i="13"/>
  <c r="K206" i="13"/>
  <c r="L206" i="13"/>
  <c r="M206" i="13"/>
  <c r="N206" i="13"/>
  <c r="O206" i="13"/>
  <c r="P206" i="13"/>
  <c r="Q206" i="13"/>
  <c r="D207" i="13"/>
  <c r="E207" i="13"/>
  <c r="F207" i="13"/>
  <c r="G207" i="13"/>
  <c r="H207" i="13"/>
  <c r="I207" i="13"/>
  <c r="J207" i="13"/>
  <c r="K207" i="13"/>
  <c r="L207" i="13"/>
  <c r="M207" i="13"/>
  <c r="N207" i="13"/>
  <c r="O207" i="13"/>
  <c r="P207" i="13"/>
  <c r="Q207" i="13"/>
  <c r="D208" i="13"/>
  <c r="E208" i="13"/>
  <c r="F208" i="13"/>
  <c r="G208" i="13"/>
  <c r="H208" i="13"/>
  <c r="I208" i="13"/>
  <c r="J208" i="13"/>
  <c r="K208" i="13"/>
  <c r="L208" i="13"/>
  <c r="M208" i="13"/>
  <c r="N208" i="13"/>
  <c r="O208" i="13"/>
  <c r="P208" i="13"/>
  <c r="Q208" i="13"/>
  <c r="E209" i="13"/>
  <c r="F209" i="13"/>
  <c r="F210" i="13" s="1"/>
  <c r="F211" i="13" s="1"/>
  <c r="F212" i="13" s="1"/>
  <c r="G209" i="13"/>
  <c r="G210" i="13" s="1"/>
  <c r="G211" i="13" s="1"/>
  <c r="G212" i="13" s="1"/>
  <c r="H209" i="13"/>
  <c r="H210" i="13" s="1"/>
  <c r="H211" i="13" s="1"/>
  <c r="H212" i="13" s="1"/>
  <c r="I209" i="13"/>
  <c r="I210" i="13" s="1"/>
  <c r="I211" i="13" s="1"/>
  <c r="I212" i="13" s="1"/>
  <c r="J209" i="13"/>
  <c r="J210" i="13" s="1"/>
  <c r="J211" i="13" s="1"/>
  <c r="J212" i="13" s="1"/>
  <c r="K209" i="13"/>
  <c r="K210" i="13" s="1"/>
  <c r="K211" i="13" s="1"/>
  <c r="K212" i="13" s="1"/>
  <c r="L209" i="13"/>
  <c r="L210" i="13" s="1"/>
  <c r="L211" i="13" s="1"/>
  <c r="L212" i="13" s="1"/>
  <c r="M209" i="13"/>
  <c r="M210" i="13" s="1"/>
  <c r="M211" i="13" s="1"/>
  <c r="M212" i="13" s="1"/>
  <c r="N209" i="13"/>
  <c r="N210" i="13" s="1"/>
  <c r="N211" i="13" s="1"/>
  <c r="N212" i="13" s="1"/>
  <c r="O209" i="13"/>
  <c r="O210" i="13" s="1"/>
  <c r="O211" i="13" s="1"/>
  <c r="O212" i="13" s="1"/>
  <c r="P209" i="13"/>
  <c r="P210" i="13" s="1"/>
  <c r="P211" i="13" s="1"/>
  <c r="P212" i="13" s="1"/>
  <c r="Q209" i="13"/>
  <c r="Q210" i="13" s="1"/>
  <c r="Q211" i="13" s="1"/>
  <c r="Q212" i="13" s="1"/>
  <c r="D215" i="13"/>
  <c r="E215" i="13"/>
  <c r="F215" i="13"/>
  <c r="G215" i="13"/>
  <c r="H215" i="13"/>
  <c r="I215" i="13"/>
  <c r="J215" i="13"/>
  <c r="K215" i="13"/>
  <c r="L215" i="13"/>
  <c r="M215" i="13"/>
  <c r="N215" i="13"/>
  <c r="O215" i="13"/>
  <c r="P215" i="13"/>
  <c r="Q215" i="13"/>
  <c r="E216" i="13"/>
  <c r="D216" i="13" s="1"/>
  <c r="F216" i="13"/>
  <c r="G216" i="13"/>
  <c r="H216" i="13"/>
  <c r="I216" i="13"/>
  <c r="J216" i="13"/>
  <c r="K216" i="13"/>
  <c r="L216" i="13"/>
  <c r="M216" i="13"/>
  <c r="N216" i="13"/>
  <c r="O216" i="13"/>
  <c r="P216" i="13"/>
  <c r="Q216" i="13"/>
  <c r="E217" i="13"/>
  <c r="D217" i="13" s="1"/>
  <c r="F217" i="13"/>
  <c r="G217" i="13"/>
  <c r="H217" i="13"/>
  <c r="I217" i="13"/>
  <c r="J217" i="13"/>
  <c r="K217" i="13"/>
  <c r="L217" i="13"/>
  <c r="M217" i="13"/>
  <c r="N217" i="13"/>
  <c r="O217" i="13"/>
  <c r="P217" i="13"/>
  <c r="Q217" i="13"/>
  <c r="F218" i="13"/>
  <c r="G218" i="13"/>
  <c r="G219" i="13" s="1"/>
  <c r="G220" i="13" s="1"/>
  <c r="G221" i="13" s="1"/>
  <c r="H218" i="13"/>
  <c r="H219" i="13" s="1"/>
  <c r="H220" i="13" s="1"/>
  <c r="H221" i="13" s="1"/>
  <c r="I218" i="13"/>
  <c r="I219" i="13" s="1"/>
  <c r="I220" i="13" s="1"/>
  <c r="I221" i="13" s="1"/>
  <c r="J218" i="13"/>
  <c r="J219" i="13" s="1"/>
  <c r="J220" i="13" s="1"/>
  <c r="J221" i="13" s="1"/>
  <c r="K218" i="13"/>
  <c r="K219" i="13" s="1"/>
  <c r="K220" i="13" s="1"/>
  <c r="K221" i="13" s="1"/>
  <c r="L218" i="13"/>
  <c r="L219" i="13" s="1"/>
  <c r="L220" i="13" s="1"/>
  <c r="L221" i="13" s="1"/>
  <c r="M218" i="13"/>
  <c r="M219" i="13" s="1"/>
  <c r="M220" i="13" s="1"/>
  <c r="M221" i="13" s="1"/>
  <c r="N218" i="13"/>
  <c r="N219" i="13" s="1"/>
  <c r="N220" i="13" s="1"/>
  <c r="N221" i="13" s="1"/>
  <c r="O218" i="13"/>
  <c r="O219" i="13" s="1"/>
  <c r="O220" i="13" s="1"/>
  <c r="O221" i="13" s="1"/>
  <c r="P218" i="13"/>
  <c r="P219" i="13" s="1"/>
  <c r="P220" i="13" s="1"/>
  <c r="P221" i="13" s="1"/>
  <c r="Q218" i="13"/>
  <c r="Q219" i="13" s="1"/>
  <c r="Q220" i="13" s="1"/>
  <c r="Q221" i="13" s="1"/>
  <c r="D223" i="13"/>
  <c r="E223" i="13"/>
  <c r="F223" i="13"/>
  <c r="G223" i="13"/>
  <c r="H223" i="13"/>
  <c r="I223" i="13"/>
  <c r="J223" i="13"/>
  <c r="K223" i="13"/>
  <c r="L223" i="13"/>
  <c r="M223" i="13"/>
  <c r="N223" i="13"/>
  <c r="O223" i="13"/>
  <c r="P223" i="13"/>
  <c r="Q223" i="13"/>
  <c r="D224" i="13"/>
  <c r="E224" i="13"/>
  <c r="F224" i="13"/>
  <c r="G224" i="13"/>
  <c r="H224" i="13"/>
  <c r="I224" i="13"/>
  <c r="J224" i="13"/>
  <c r="K224" i="13"/>
  <c r="L224" i="13"/>
  <c r="M224" i="13"/>
  <c r="N224" i="13"/>
  <c r="O224" i="13"/>
  <c r="P224" i="13"/>
  <c r="Q224" i="13"/>
  <c r="D225" i="13"/>
  <c r="E225" i="13"/>
  <c r="F225" i="13"/>
  <c r="G225" i="13"/>
  <c r="H225" i="13"/>
  <c r="I225" i="13"/>
  <c r="J225" i="13"/>
  <c r="K225" i="13"/>
  <c r="L225" i="13"/>
  <c r="M225" i="13"/>
  <c r="N225" i="13"/>
  <c r="O225" i="13"/>
  <c r="P225" i="13"/>
  <c r="Q225" i="13"/>
  <c r="E226" i="13"/>
  <c r="F226" i="13"/>
  <c r="F227" i="13" s="1"/>
  <c r="F228" i="13" s="1"/>
  <c r="F229" i="13" s="1"/>
  <c r="G226" i="13"/>
  <c r="G227" i="13" s="1"/>
  <c r="G228" i="13" s="1"/>
  <c r="G229" i="13" s="1"/>
  <c r="H226" i="13"/>
  <c r="H227" i="13" s="1"/>
  <c r="H228" i="13" s="1"/>
  <c r="H229" i="13" s="1"/>
  <c r="I226" i="13"/>
  <c r="I227" i="13" s="1"/>
  <c r="I228" i="13" s="1"/>
  <c r="I229" i="13" s="1"/>
  <c r="J226" i="13"/>
  <c r="J227" i="13" s="1"/>
  <c r="J228" i="13" s="1"/>
  <c r="J229" i="13" s="1"/>
  <c r="K226" i="13"/>
  <c r="K227" i="13" s="1"/>
  <c r="K228" i="13" s="1"/>
  <c r="K229" i="13" s="1"/>
  <c r="L226" i="13"/>
  <c r="L227" i="13" s="1"/>
  <c r="L228" i="13" s="1"/>
  <c r="L229" i="13" s="1"/>
  <c r="M226" i="13"/>
  <c r="M227" i="13" s="1"/>
  <c r="M228" i="13" s="1"/>
  <c r="M229" i="13" s="1"/>
  <c r="N226" i="13"/>
  <c r="N227" i="13" s="1"/>
  <c r="N228" i="13" s="1"/>
  <c r="N229" i="13" s="1"/>
  <c r="O226" i="13"/>
  <c r="O227" i="13" s="1"/>
  <c r="O228" i="13" s="1"/>
  <c r="O229" i="13" s="1"/>
  <c r="P226" i="13"/>
  <c r="P227" i="13" s="1"/>
  <c r="P228" i="13" s="1"/>
  <c r="P229" i="13" s="1"/>
  <c r="Q226" i="13"/>
  <c r="Q227" i="13" s="1"/>
  <c r="Q228" i="13" s="1"/>
  <c r="Q229" i="13" s="1"/>
  <c r="D232" i="13"/>
  <c r="E232" i="13"/>
  <c r="F232" i="13"/>
  <c r="G232" i="13"/>
  <c r="H232" i="13"/>
  <c r="I232" i="13"/>
  <c r="J232" i="13"/>
  <c r="K232" i="13"/>
  <c r="L232" i="13"/>
  <c r="M232" i="13"/>
  <c r="N232" i="13"/>
  <c r="O232" i="13"/>
  <c r="P232" i="13"/>
  <c r="Q232" i="13"/>
  <c r="E233" i="13"/>
  <c r="D233" i="13" s="1"/>
  <c r="F233" i="13"/>
  <c r="G233" i="13"/>
  <c r="H233" i="13"/>
  <c r="I233" i="13"/>
  <c r="J233" i="13"/>
  <c r="K233" i="13"/>
  <c r="L233" i="13"/>
  <c r="M233" i="13"/>
  <c r="N233" i="13"/>
  <c r="O233" i="13"/>
  <c r="P233" i="13"/>
  <c r="Q233" i="13"/>
  <c r="E234" i="13"/>
  <c r="D234" i="13" s="1"/>
  <c r="F234" i="13"/>
  <c r="G234" i="13"/>
  <c r="H234" i="13"/>
  <c r="I234" i="13"/>
  <c r="J234" i="13"/>
  <c r="K234" i="13"/>
  <c r="L234" i="13"/>
  <c r="M234" i="13"/>
  <c r="N234" i="13"/>
  <c r="O234" i="13"/>
  <c r="P234" i="13"/>
  <c r="Q234" i="13"/>
  <c r="F235" i="13"/>
  <c r="G235" i="13"/>
  <c r="G236" i="13" s="1"/>
  <c r="G237" i="13" s="1"/>
  <c r="G238" i="13" s="1"/>
  <c r="H235" i="13"/>
  <c r="H236" i="13" s="1"/>
  <c r="H237" i="13" s="1"/>
  <c r="H238" i="13" s="1"/>
  <c r="I235" i="13"/>
  <c r="I236" i="13" s="1"/>
  <c r="I237" i="13" s="1"/>
  <c r="I238" i="13" s="1"/>
  <c r="J235" i="13"/>
  <c r="J236" i="13" s="1"/>
  <c r="J237" i="13" s="1"/>
  <c r="J238" i="13" s="1"/>
  <c r="K235" i="13"/>
  <c r="K236" i="13" s="1"/>
  <c r="K237" i="13" s="1"/>
  <c r="K238" i="13" s="1"/>
  <c r="L235" i="13"/>
  <c r="L236" i="13" s="1"/>
  <c r="L237" i="13" s="1"/>
  <c r="L238" i="13" s="1"/>
  <c r="M235" i="13"/>
  <c r="M236" i="13" s="1"/>
  <c r="M237" i="13" s="1"/>
  <c r="M238" i="13" s="1"/>
  <c r="N235" i="13"/>
  <c r="N236" i="13" s="1"/>
  <c r="N237" i="13" s="1"/>
  <c r="N238" i="13" s="1"/>
  <c r="O235" i="13"/>
  <c r="O236" i="13" s="1"/>
  <c r="O237" i="13" s="1"/>
  <c r="O238" i="13" s="1"/>
  <c r="P235" i="13"/>
  <c r="P236" i="13" s="1"/>
  <c r="P237" i="13" s="1"/>
  <c r="P238" i="13" s="1"/>
  <c r="Q235" i="13"/>
  <c r="Q236" i="13" s="1"/>
  <c r="Q237" i="13" s="1"/>
  <c r="Q238" i="13" s="1"/>
  <c r="D240" i="13"/>
  <c r="E240" i="13"/>
  <c r="F240" i="13"/>
  <c r="G240" i="13"/>
  <c r="H240" i="13"/>
  <c r="I240" i="13"/>
  <c r="J240" i="13"/>
  <c r="K240" i="13"/>
  <c r="L240" i="13"/>
  <c r="M240" i="13"/>
  <c r="N240" i="13"/>
  <c r="O240" i="13"/>
  <c r="P240" i="13"/>
  <c r="Q240" i="13"/>
  <c r="D241" i="13"/>
  <c r="E241" i="13"/>
  <c r="F241" i="13"/>
  <c r="G241" i="13"/>
  <c r="H241" i="13"/>
  <c r="I241" i="13"/>
  <c r="J241" i="13"/>
  <c r="K241" i="13"/>
  <c r="L241" i="13"/>
  <c r="M241" i="13"/>
  <c r="N241" i="13"/>
  <c r="O241" i="13"/>
  <c r="P241" i="13"/>
  <c r="Q241" i="13"/>
  <c r="D242" i="13"/>
  <c r="E242" i="13"/>
  <c r="F242" i="13"/>
  <c r="G242" i="13"/>
  <c r="H242" i="13"/>
  <c r="I242" i="13"/>
  <c r="J242" i="13"/>
  <c r="K242" i="13"/>
  <c r="L242" i="13"/>
  <c r="M242" i="13"/>
  <c r="N242" i="13"/>
  <c r="O242" i="13"/>
  <c r="P242" i="13"/>
  <c r="Q242" i="13"/>
  <c r="E243" i="13"/>
  <c r="F243" i="13"/>
  <c r="F244" i="13" s="1"/>
  <c r="F245" i="13" s="1"/>
  <c r="F246" i="13" s="1"/>
  <c r="G243" i="13"/>
  <c r="G244" i="13" s="1"/>
  <c r="G245" i="13" s="1"/>
  <c r="G246" i="13" s="1"/>
  <c r="H243" i="13"/>
  <c r="H244" i="13" s="1"/>
  <c r="H245" i="13" s="1"/>
  <c r="H246" i="13" s="1"/>
  <c r="I243" i="13"/>
  <c r="I244" i="13" s="1"/>
  <c r="I245" i="13" s="1"/>
  <c r="I246" i="13" s="1"/>
  <c r="J243" i="13"/>
  <c r="J244" i="13" s="1"/>
  <c r="J245" i="13" s="1"/>
  <c r="J246" i="13" s="1"/>
  <c r="K243" i="13"/>
  <c r="K244" i="13" s="1"/>
  <c r="K245" i="13" s="1"/>
  <c r="K246" i="13" s="1"/>
  <c r="L243" i="13"/>
  <c r="L244" i="13" s="1"/>
  <c r="L245" i="13" s="1"/>
  <c r="L246" i="13" s="1"/>
  <c r="M243" i="13"/>
  <c r="M244" i="13" s="1"/>
  <c r="M245" i="13" s="1"/>
  <c r="M246" i="13" s="1"/>
  <c r="N243" i="13"/>
  <c r="N244" i="13" s="1"/>
  <c r="N245" i="13" s="1"/>
  <c r="N246" i="13" s="1"/>
  <c r="O243" i="13"/>
  <c r="O244" i="13" s="1"/>
  <c r="O245" i="13" s="1"/>
  <c r="O246" i="13" s="1"/>
  <c r="P243" i="13"/>
  <c r="P244" i="13" s="1"/>
  <c r="P245" i="13" s="1"/>
  <c r="P246" i="13" s="1"/>
  <c r="Q243" i="13"/>
  <c r="Q244" i="13" s="1"/>
  <c r="Q245" i="13" s="1"/>
  <c r="Q246" i="13" s="1"/>
  <c r="E10" i="13"/>
  <c r="F10" i="13"/>
  <c r="G10" i="13"/>
  <c r="H10" i="13"/>
  <c r="I10" i="13"/>
  <c r="J10" i="13"/>
  <c r="K10" i="13"/>
  <c r="L10" i="13"/>
  <c r="M10" i="13"/>
  <c r="N10" i="13"/>
  <c r="O10" i="13"/>
  <c r="P10" i="13"/>
  <c r="Q10" i="13"/>
  <c r="C11" i="13"/>
  <c r="C12" i="13"/>
  <c r="C13" i="13"/>
  <c r="C18" i="13"/>
  <c r="C19" i="13"/>
  <c r="C20" i="13"/>
  <c r="C21" i="13"/>
  <c r="C10" i="13"/>
  <c r="H251" i="17" l="1"/>
  <c r="D201" i="13"/>
  <c r="D202" i="13" s="1"/>
  <c r="D203" i="13" s="1"/>
  <c r="D204" i="13" s="1"/>
  <c r="F202" i="13"/>
  <c r="F203" i="13" s="1"/>
  <c r="F204" i="13" s="1"/>
  <c r="D65" i="13"/>
  <c r="D66" i="13" s="1"/>
  <c r="D67" i="13" s="1"/>
  <c r="D68" i="13" s="1"/>
  <c r="F66" i="13"/>
  <c r="F67" i="13" s="1"/>
  <c r="F68" i="13" s="1"/>
  <c r="D38" i="13"/>
  <c r="D39" i="13" s="1"/>
  <c r="D40" i="13" s="1"/>
  <c r="D41" i="13" s="1"/>
  <c r="E39" i="13"/>
  <c r="E40" i="13" s="1"/>
  <c r="E41" i="13" s="1"/>
  <c r="D150" i="13"/>
  <c r="D151" i="13" s="1"/>
  <c r="D152" i="13" s="1"/>
  <c r="D153" i="13" s="1"/>
  <c r="F151" i="13"/>
  <c r="F152" i="13" s="1"/>
  <c r="F153" i="13" s="1"/>
  <c r="D124" i="13"/>
  <c r="D125" i="13" s="1"/>
  <c r="D126" i="13" s="1"/>
  <c r="D127" i="13" s="1"/>
  <c r="E125" i="13"/>
  <c r="E126" i="13" s="1"/>
  <c r="E127" i="13" s="1"/>
  <c r="D13" i="13"/>
  <c r="D14" i="13" s="1"/>
  <c r="D15" i="13" s="1"/>
  <c r="D16" i="13" s="1"/>
  <c r="F14" i="13"/>
  <c r="F15" i="13" s="1"/>
  <c r="F16" i="13" s="1"/>
  <c r="D175" i="13"/>
  <c r="D176" i="13" s="1"/>
  <c r="D177" i="13" s="1"/>
  <c r="D178" i="13" s="1"/>
  <c r="E176" i="13"/>
  <c r="E177" i="13" s="1"/>
  <c r="E178" i="13" s="1"/>
  <c r="D235" i="13"/>
  <c r="D236" i="13" s="1"/>
  <c r="D237" i="13" s="1"/>
  <c r="D238" i="13" s="1"/>
  <c r="F236" i="13"/>
  <c r="F237" i="13" s="1"/>
  <c r="F238" i="13" s="1"/>
  <c r="D209" i="13"/>
  <c r="D210" i="13" s="1"/>
  <c r="D211" i="13" s="1"/>
  <c r="D212" i="13" s="1"/>
  <c r="E210" i="13"/>
  <c r="E211" i="13" s="1"/>
  <c r="E212" i="13" s="1"/>
  <c r="D99" i="13"/>
  <c r="D100" i="13" s="1"/>
  <c r="D101" i="13" s="1"/>
  <c r="D102" i="13" s="1"/>
  <c r="F100" i="13"/>
  <c r="F101" i="13" s="1"/>
  <c r="F102" i="13" s="1"/>
  <c r="D73" i="13"/>
  <c r="D74" i="13" s="1"/>
  <c r="D75" i="13" s="1"/>
  <c r="D76" i="13" s="1"/>
  <c r="E74" i="13"/>
  <c r="E75" i="13" s="1"/>
  <c r="E76" i="13" s="1"/>
  <c r="E184" i="13"/>
  <c r="E185" i="13" s="1"/>
  <c r="E186" i="13" s="1"/>
  <c r="E187" i="13" s="1"/>
  <c r="F185" i="13"/>
  <c r="F186" i="13" s="1"/>
  <c r="F187" i="13" s="1"/>
  <c r="D158" i="13"/>
  <c r="D159" i="13" s="1"/>
  <c r="D160" i="13" s="1"/>
  <c r="D161" i="13" s="1"/>
  <c r="E159" i="13"/>
  <c r="E160" i="13" s="1"/>
  <c r="E161" i="13" s="1"/>
  <c r="E48" i="13"/>
  <c r="E49" i="13" s="1"/>
  <c r="E50" i="13" s="1"/>
  <c r="E51" i="13" s="1"/>
  <c r="F49" i="13"/>
  <c r="F50" i="13" s="1"/>
  <c r="F51" i="13" s="1"/>
  <c r="D243" i="13"/>
  <c r="D244" i="13" s="1"/>
  <c r="D245" i="13" s="1"/>
  <c r="D246" i="13" s="1"/>
  <c r="E244" i="13"/>
  <c r="E245" i="13" s="1"/>
  <c r="E246" i="13" s="1"/>
  <c r="D133" i="13"/>
  <c r="D134" i="13" s="1"/>
  <c r="D135" i="13" s="1"/>
  <c r="D136" i="13" s="1"/>
  <c r="F134" i="13"/>
  <c r="F135" i="13" s="1"/>
  <c r="F136" i="13" s="1"/>
  <c r="D107" i="13"/>
  <c r="D108" i="13" s="1"/>
  <c r="D109" i="13" s="1"/>
  <c r="D110" i="13" s="1"/>
  <c r="E108" i="13"/>
  <c r="E109" i="13" s="1"/>
  <c r="E110" i="13" s="1"/>
  <c r="D21" i="13"/>
  <c r="D22" i="13" s="1"/>
  <c r="D23" i="13" s="1"/>
  <c r="D24" i="13" s="1"/>
  <c r="E22" i="13"/>
  <c r="E23" i="13" s="1"/>
  <c r="E24" i="13" s="1"/>
  <c r="D218" i="13"/>
  <c r="D219" i="13" s="1"/>
  <c r="D220" i="13" s="1"/>
  <c r="D221" i="13" s="1"/>
  <c r="F219" i="13"/>
  <c r="F220" i="13" s="1"/>
  <c r="F221" i="13" s="1"/>
  <c r="D192" i="13"/>
  <c r="D193" i="13" s="1"/>
  <c r="D194" i="13" s="1"/>
  <c r="D195" i="13" s="1"/>
  <c r="E193" i="13"/>
  <c r="D82" i="13"/>
  <c r="D83" i="13" s="1"/>
  <c r="D84" i="13" s="1"/>
  <c r="D85" i="13" s="1"/>
  <c r="F83" i="13"/>
  <c r="F84" i="13" s="1"/>
  <c r="F85" i="13" s="1"/>
  <c r="D56" i="13"/>
  <c r="D57" i="13" s="1"/>
  <c r="D58" i="13" s="1"/>
  <c r="D59" i="13" s="1"/>
  <c r="E57" i="13"/>
  <c r="E58" i="13" s="1"/>
  <c r="E59" i="13" s="1"/>
  <c r="E167" i="13"/>
  <c r="E168" i="13" s="1"/>
  <c r="E169" i="13" s="1"/>
  <c r="E170" i="13" s="1"/>
  <c r="F168" i="13"/>
  <c r="F169" i="13" s="1"/>
  <c r="F170" i="13" s="1"/>
  <c r="E30" i="13"/>
  <c r="E31" i="13" s="1"/>
  <c r="E32" i="13" s="1"/>
  <c r="E33" i="13" s="1"/>
  <c r="F31" i="13"/>
  <c r="F32" i="13" s="1"/>
  <c r="F33" i="13" s="1"/>
  <c r="D141" i="13"/>
  <c r="D142" i="13" s="1"/>
  <c r="D143" i="13" s="1"/>
  <c r="D144" i="13" s="1"/>
  <c r="E142" i="13"/>
  <c r="E143" i="13" s="1"/>
  <c r="E144" i="13" s="1"/>
  <c r="D226" i="13"/>
  <c r="D227" i="13" s="1"/>
  <c r="D228" i="13" s="1"/>
  <c r="D229" i="13" s="1"/>
  <c r="E227" i="13"/>
  <c r="E228" i="13" s="1"/>
  <c r="E229" i="13" s="1"/>
  <c r="D116" i="13"/>
  <c r="D117" i="13" s="1"/>
  <c r="D118" i="13" s="1"/>
  <c r="D119" i="13" s="1"/>
  <c r="F117" i="13"/>
  <c r="F118" i="13" s="1"/>
  <c r="F119" i="13" s="1"/>
  <c r="D90" i="13"/>
  <c r="D91" i="13" s="1"/>
  <c r="D92" i="13" s="1"/>
  <c r="D93" i="13" s="1"/>
  <c r="E91" i="13"/>
  <c r="E92" i="13" s="1"/>
  <c r="E93" i="13" s="1"/>
  <c r="E13" i="13"/>
  <c r="E14" i="13" s="1"/>
  <c r="E15" i="13" s="1"/>
  <c r="E16" i="13" s="1"/>
  <c r="E82" i="13"/>
  <c r="E83" i="13" s="1"/>
  <c r="E84" i="13" s="1"/>
  <c r="E85" i="13" s="1"/>
  <c r="E218" i="13"/>
  <c r="E219" i="13" s="1"/>
  <c r="E220" i="13" s="1"/>
  <c r="E221" i="13" s="1"/>
  <c r="D30" i="13"/>
  <c r="D31" i="13" s="1"/>
  <c r="D32" i="13" s="1"/>
  <c r="D33" i="13" s="1"/>
  <c r="D48" i="13"/>
  <c r="D49" i="13" s="1"/>
  <c r="D50" i="13" s="1"/>
  <c r="D51" i="13" s="1"/>
  <c r="D184" i="13"/>
  <c r="D185" i="13" s="1"/>
  <c r="D186" i="13" s="1"/>
  <c r="D187" i="13" s="1"/>
  <c r="D167" i="13"/>
  <c r="D168" i="13" s="1"/>
  <c r="D169" i="13" s="1"/>
  <c r="D170" i="13" s="1"/>
  <c r="E65" i="13"/>
  <c r="E66" i="13" s="1"/>
  <c r="E67" i="13" s="1"/>
  <c r="E68" i="13" s="1"/>
  <c r="E201" i="13"/>
  <c r="E202" i="13" s="1"/>
  <c r="E203" i="13" s="1"/>
  <c r="E204" i="13" s="1"/>
  <c r="E99" i="13"/>
  <c r="E100" i="13" s="1"/>
  <c r="E101" i="13" s="1"/>
  <c r="E102" i="13" s="1"/>
  <c r="E235" i="13"/>
  <c r="E236" i="13" s="1"/>
  <c r="E237" i="13" s="1"/>
  <c r="E238" i="13" s="1"/>
  <c r="E116" i="13"/>
  <c r="E117" i="13" s="1"/>
  <c r="E118" i="13" s="1"/>
  <c r="E119" i="13" s="1"/>
  <c r="E133" i="13"/>
  <c r="E134" i="13" s="1"/>
  <c r="E135" i="13" s="1"/>
  <c r="E136" i="13" s="1"/>
  <c r="E150" i="13"/>
  <c r="E151" i="13" s="1"/>
  <c r="E152" i="13" s="1"/>
  <c r="E153" i="13" s="1"/>
  <c r="L17" i="18" l="1"/>
  <c r="D284" i="4" l="1"/>
  <c r="B318" i="4" s="1"/>
  <c r="C284" i="4" l="1"/>
  <c r="G284" i="4" l="1"/>
  <c r="J40" i="1" l="1"/>
  <c r="C306" i="4"/>
  <c r="C307" i="4" s="1"/>
  <c r="C308" i="4" s="1"/>
  <c r="C127" i="17"/>
  <c r="C273" i="17" l="1"/>
  <c r="X61" i="1"/>
  <c r="C275" i="17" l="1"/>
  <c r="C274" i="17"/>
  <c r="F284" i="4" l="1"/>
  <c r="C318" i="4"/>
  <c r="E318" i="4" l="1"/>
  <c r="H284" i="4"/>
  <c r="F318" i="4" l="1"/>
  <c r="D316" i="4" s="1"/>
  <c r="M48" i="18"/>
  <c r="T44" i="18"/>
  <c r="D44" i="18" s="1"/>
  <c r="L17" i="1"/>
  <c r="M16" i="1" s="1"/>
  <c r="W44" i="1" l="1"/>
  <c r="M48" i="1" s="1"/>
  <c r="E44" i="18"/>
  <c r="E48" i="18" s="1"/>
  <c r="D48" i="18"/>
  <c r="M16" i="18"/>
  <c r="T44" i="1" l="1"/>
  <c r="D44" i="1" s="1"/>
  <c r="D48" i="1" s="1"/>
  <c r="P194" i="13"/>
  <c r="P195" i="13" s="1"/>
  <c r="Q194" i="13"/>
  <c r="Q195" i="13" s="1"/>
  <c r="L194" i="13"/>
  <c r="L195" i="13" s="1"/>
  <c r="E194" i="13"/>
  <c r="E195" i="13" s="1"/>
  <c r="I194" i="13"/>
  <c r="I195" i="13" s="1"/>
  <c r="J194" i="13"/>
  <c r="J195" i="13" s="1"/>
  <c r="F194" i="13"/>
  <c r="F195" i="13" s="1"/>
  <c r="O194" i="13"/>
  <c r="O195" i="13" s="1"/>
  <c r="G194" i="13"/>
  <c r="G195" i="13" s="1"/>
  <c r="K194" i="13"/>
  <c r="K195" i="13" s="1"/>
  <c r="H194" i="13"/>
  <c r="H195" i="13" s="1"/>
  <c r="M194" i="13"/>
  <c r="M195" i="13" s="1"/>
  <c r="N194" i="13"/>
  <c r="N195" i="13" s="1"/>
  <c r="E44" i="1" l="1"/>
  <c r="E48" i="1" s="1"/>
  <c r="E32" i="14"/>
  <c r="L18" i="18" s="1"/>
  <c r="L20" i="18" s="1"/>
  <c r="G49" i="18" s="1"/>
  <c r="L48" i="18" l="1"/>
  <c r="I49" i="18"/>
  <c r="L51" i="18" s="1"/>
  <c r="L49" i="18"/>
  <c r="K49" i="18"/>
  <c r="K48" i="18"/>
  <c r="L18" i="1"/>
  <c r="L20" i="1" s="1"/>
  <c r="G49" i="1" s="1"/>
  <c r="K49" i="1" l="1"/>
  <c r="L49" i="1"/>
  <c r="I50" i="18"/>
  <c r="G50" i="18"/>
  <c r="J51" i="18"/>
  <c r="I57" i="18" s="1"/>
  <c r="I49" i="1"/>
  <c r="L51" i="1" s="1"/>
  <c r="K48" i="1"/>
  <c r="I50" i="1"/>
  <c r="L48" i="1"/>
  <c r="Z54" i="1" l="1"/>
  <c r="AB54" i="1"/>
  <c r="AA54" i="1"/>
  <c r="AC54" i="1"/>
  <c r="Y54" i="1"/>
  <c r="X54" i="1"/>
  <c r="G50" i="1"/>
  <c r="F40" i="1"/>
  <c r="AB55" i="1" s="1"/>
  <c r="AB58" i="1" l="1"/>
  <c r="AB59" i="1" s="1"/>
  <c r="AA55" i="1"/>
  <c r="AA58" i="1" s="1"/>
  <c r="AA59" i="1" s="1"/>
  <c r="AC55" i="1"/>
  <c r="AC58" i="1" s="1"/>
  <c r="AC59" i="1" s="1"/>
  <c r="Z55" i="1"/>
  <c r="Z58" i="1" s="1"/>
  <c r="Z59" i="1" s="1"/>
  <c r="Y55" i="1"/>
  <c r="Y58" i="1" s="1"/>
  <c r="Y59" i="1" s="1"/>
  <c r="X55" i="1"/>
  <c r="X58" i="1" s="1"/>
  <c r="X59" i="1" s="1"/>
  <c r="T50" i="1" l="1"/>
  <c r="J51" i="1" l="1"/>
  <c r="I57" i="1" s="1"/>
  <c r="E240" i="4"/>
  <c r="D212" i="17"/>
  <c r="E212" i="17" l="1"/>
  <c r="Q2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tturner</author>
    <author>Therese Turner</author>
  </authors>
  <commentList>
    <comment ref="K7" authorId="0" shapeId="0" xr:uid="{D513F7C4-79C5-4EDF-BBEC-01BCCF2BEBF0}">
      <text>
        <r>
          <rPr>
            <b/>
            <sz val="9"/>
            <color indexed="81"/>
            <rFont val="Tahoma"/>
            <family val="2"/>
          </rPr>
          <t xml:space="preserve">Enter frequency 
(eg. W/F/B/M/A)
</t>
        </r>
        <r>
          <rPr>
            <sz val="9"/>
            <color indexed="81"/>
            <rFont val="Tahoma"/>
            <family val="2"/>
          </rPr>
          <t xml:space="preserve">
</t>
        </r>
      </text>
    </comment>
    <comment ref="L7" authorId="0" shapeId="0" xr:uid="{CC13E678-F43A-400F-89F9-1062DA392E8C}">
      <text>
        <r>
          <rPr>
            <b/>
            <sz val="9"/>
            <color indexed="81"/>
            <rFont val="Tahoma"/>
            <family val="2"/>
          </rPr>
          <t>Enter gross amount</t>
        </r>
        <r>
          <rPr>
            <sz val="9"/>
            <color indexed="81"/>
            <rFont val="Tahoma"/>
            <family val="2"/>
          </rPr>
          <t xml:space="preserve">
</t>
        </r>
      </text>
    </comment>
    <comment ref="C8" authorId="0" shapeId="0" xr:uid="{800E68C8-5AE0-44FF-8599-6678505D6E5E}">
      <text>
        <r>
          <rPr>
            <b/>
            <sz val="9"/>
            <color indexed="81"/>
            <rFont val="Tahoma"/>
            <family val="2"/>
          </rPr>
          <t xml:space="preserve">Member No.
</t>
        </r>
        <r>
          <rPr>
            <sz val="9"/>
            <color indexed="81"/>
            <rFont val="Tahoma"/>
            <family val="2"/>
          </rPr>
          <t xml:space="preserve">
</t>
        </r>
      </text>
    </comment>
    <comment ref="D8" authorId="0" shapeId="0" xr:uid="{4B370589-F93D-4373-A220-D22F44FFB646}">
      <text>
        <r>
          <rPr>
            <b/>
            <sz val="9"/>
            <color indexed="81"/>
            <rFont val="Tahoma"/>
            <family val="2"/>
          </rPr>
          <t xml:space="preserve">Enter employer name or self employed
</t>
        </r>
        <r>
          <rPr>
            <sz val="9"/>
            <color indexed="81"/>
            <rFont val="Tahoma"/>
            <family val="2"/>
          </rPr>
          <t xml:space="preserve">
</t>
        </r>
      </text>
    </comment>
    <comment ref="F8" authorId="0" shapeId="0" xr:uid="{BC442345-D715-4C0D-BCF5-687D2DBEEEB9}">
      <text>
        <r>
          <rPr>
            <b/>
            <sz val="9"/>
            <color indexed="81"/>
            <rFont val="Tahoma"/>
            <family val="2"/>
          </rPr>
          <t xml:space="preserve">Base salary 
</t>
        </r>
        <r>
          <rPr>
            <sz val="9"/>
            <color indexed="81"/>
            <rFont val="Tahoma"/>
            <family val="2"/>
          </rPr>
          <t xml:space="preserve">(before tax)
</t>
        </r>
      </text>
    </comment>
    <comment ref="G8" authorId="0" shapeId="0" xr:uid="{C278FEE4-E523-4383-9D9D-4888A3EB9FAE}">
      <text>
        <r>
          <rPr>
            <b/>
            <sz val="9"/>
            <color indexed="81"/>
            <rFont val="Tahoma"/>
            <family val="2"/>
          </rPr>
          <t xml:space="preserve">Enter frequency 
(eg. W/F/B/M/A)
</t>
        </r>
        <r>
          <rPr>
            <sz val="9"/>
            <color indexed="81"/>
            <rFont val="Tahoma"/>
            <family val="2"/>
          </rPr>
          <t xml:space="preserve">
</t>
        </r>
      </text>
    </comment>
    <comment ref="K8" authorId="0" shapeId="0" xr:uid="{B1BA7CD2-26A9-4581-8137-96AE48AEEC8E}">
      <text>
        <r>
          <rPr>
            <b/>
            <sz val="9"/>
            <color indexed="81"/>
            <rFont val="Tahoma"/>
            <family val="2"/>
          </rPr>
          <t xml:space="preserve">Enter frequency 
(eg. W/F/B/M/A)
</t>
        </r>
        <r>
          <rPr>
            <sz val="9"/>
            <color indexed="81"/>
            <rFont val="Tahoma"/>
            <family val="2"/>
          </rPr>
          <t xml:space="preserve">
</t>
        </r>
      </text>
    </comment>
    <comment ref="L8" authorId="0" shapeId="0" xr:uid="{7201C7EC-FAFD-401B-82DF-7EE231AF5D74}">
      <text>
        <r>
          <rPr>
            <b/>
            <sz val="9"/>
            <color indexed="81"/>
            <rFont val="Tahoma"/>
            <family val="2"/>
          </rPr>
          <t>Enter gross amount</t>
        </r>
        <r>
          <rPr>
            <sz val="9"/>
            <color indexed="81"/>
            <rFont val="Tahoma"/>
            <family val="2"/>
          </rPr>
          <t xml:space="preserve">
</t>
        </r>
      </text>
    </comment>
    <comment ref="C9" authorId="0" shapeId="0" xr:uid="{1D128BA9-D988-4F13-B845-CDA39BB2F330}">
      <text>
        <r>
          <rPr>
            <b/>
            <sz val="9"/>
            <color indexed="81"/>
            <rFont val="Tahoma"/>
            <family val="2"/>
          </rPr>
          <t>Must be regular
(YTD average)</t>
        </r>
        <r>
          <rPr>
            <sz val="9"/>
            <color indexed="81"/>
            <rFont val="Tahoma"/>
            <family val="2"/>
          </rPr>
          <t xml:space="preserve">
</t>
        </r>
      </text>
    </comment>
    <comment ref="D9" authorId="0" shapeId="0" xr:uid="{534D5426-0321-4D7F-A914-B305F7050113}">
      <text>
        <r>
          <rPr>
            <b/>
            <sz val="9"/>
            <color indexed="81"/>
            <rFont val="Tahoma"/>
            <family val="2"/>
          </rPr>
          <t>Average YTD must be regular</t>
        </r>
      </text>
    </comment>
    <comment ref="F9" authorId="0" shapeId="0" xr:uid="{47439D64-34FF-4703-A37E-A11CE4AFA0A6}">
      <text>
        <r>
          <rPr>
            <b/>
            <sz val="9"/>
            <color indexed="81"/>
            <rFont val="Tahoma"/>
            <family val="2"/>
          </rPr>
          <t xml:space="preserve">Enter average gross amount 
</t>
        </r>
        <r>
          <rPr>
            <sz val="9"/>
            <color indexed="81"/>
            <rFont val="Tahoma"/>
            <family val="2"/>
          </rPr>
          <t xml:space="preserve">(no need to discount)
</t>
        </r>
      </text>
    </comment>
    <comment ref="G9" authorId="0" shapeId="0" xr:uid="{C8151AD8-1DD8-4ADD-90C9-432FB1F03B5E}">
      <text>
        <r>
          <rPr>
            <b/>
            <sz val="9"/>
            <color indexed="81"/>
            <rFont val="Tahoma"/>
            <family val="2"/>
          </rPr>
          <t xml:space="preserve">Enter frequency 
(eg. W/F/B/M/A)
</t>
        </r>
        <r>
          <rPr>
            <sz val="9"/>
            <color indexed="81"/>
            <rFont val="Tahoma"/>
            <family val="2"/>
          </rPr>
          <t xml:space="preserve">
</t>
        </r>
      </text>
    </comment>
    <comment ref="K9" authorId="0" shapeId="0" xr:uid="{98BE4A75-FA24-49C9-853C-238AA8282942}">
      <text>
        <r>
          <rPr>
            <b/>
            <sz val="9"/>
            <color indexed="81"/>
            <rFont val="Tahoma"/>
            <family val="2"/>
          </rPr>
          <t xml:space="preserve">Enter frequency 
(eg. W/F/B/M/A)
</t>
        </r>
        <r>
          <rPr>
            <sz val="9"/>
            <color indexed="81"/>
            <rFont val="Tahoma"/>
            <family val="2"/>
          </rPr>
          <t xml:space="preserve">
</t>
        </r>
      </text>
    </comment>
    <comment ref="L9" authorId="0" shapeId="0" xr:uid="{5F249313-8F7B-48C8-8A25-B9C9C886432D}">
      <text>
        <r>
          <rPr>
            <b/>
            <sz val="9"/>
            <color indexed="81"/>
            <rFont val="Tahoma"/>
            <family val="2"/>
          </rPr>
          <t>Enter gross amount</t>
        </r>
        <r>
          <rPr>
            <sz val="9"/>
            <color indexed="81"/>
            <rFont val="Tahoma"/>
            <family val="2"/>
          </rPr>
          <t xml:space="preserve">
</t>
        </r>
      </text>
    </comment>
    <comment ref="C10" authorId="0" shapeId="0" xr:uid="{75643915-D755-4BB1-A72F-7FE7F04D8116}">
      <text>
        <r>
          <rPr>
            <b/>
            <sz val="9"/>
            <color indexed="81"/>
            <rFont val="Tahoma"/>
            <family val="2"/>
          </rPr>
          <t>Must be more than 12 months employment</t>
        </r>
        <r>
          <rPr>
            <sz val="9"/>
            <color indexed="81"/>
            <rFont val="Tahoma"/>
            <family val="2"/>
          </rPr>
          <t xml:space="preserve">
</t>
        </r>
      </text>
    </comment>
    <comment ref="D10" authorId="0" shapeId="0" xr:uid="{EDF37EAC-47A0-4D50-AD28-9D2EEFE76A3A}">
      <text>
        <r>
          <rPr>
            <b/>
            <sz val="9"/>
            <color indexed="81"/>
            <rFont val="Tahoma"/>
            <family val="2"/>
          </rPr>
          <t>Enter employer name. 
Must be continuous employment.</t>
        </r>
        <r>
          <rPr>
            <sz val="9"/>
            <color indexed="81"/>
            <rFont val="Tahoma"/>
            <family val="2"/>
          </rPr>
          <t xml:space="preserve">
</t>
        </r>
      </text>
    </comment>
    <comment ref="F10" authorId="0" shapeId="0" xr:uid="{2BE57B29-494A-44E9-8395-F5D32AB5773A}">
      <text>
        <r>
          <rPr>
            <b/>
            <sz val="9"/>
            <color indexed="81"/>
            <rFont val="Tahoma"/>
            <family val="2"/>
          </rPr>
          <t xml:space="preserve">Enter average gross amount 
</t>
        </r>
        <r>
          <rPr>
            <sz val="9"/>
            <color indexed="81"/>
            <rFont val="Tahoma"/>
            <family val="2"/>
          </rPr>
          <t xml:space="preserve">(no need to discount)
</t>
        </r>
      </text>
    </comment>
    <comment ref="G10" authorId="0" shapeId="0" xr:uid="{CA201D3D-B8BD-4BAC-B0E0-3E06458CA511}">
      <text>
        <r>
          <rPr>
            <b/>
            <sz val="9"/>
            <color indexed="81"/>
            <rFont val="Tahoma"/>
            <family val="2"/>
          </rPr>
          <t xml:space="preserve">Enter frequency 
(eg. W/F/B/M/A)
</t>
        </r>
        <r>
          <rPr>
            <sz val="9"/>
            <color indexed="81"/>
            <rFont val="Tahoma"/>
            <family val="2"/>
          </rPr>
          <t xml:space="preserve">
</t>
        </r>
      </text>
    </comment>
    <comment ref="C11" authorId="0" shapeId="0" xr:uid="{10B57F33-60E6-4351-8086-6F6647D56E6E}">
      <text>
        <r>
          <rPr>
            <b/>
            <sz val="9"/>
            <color indexed="81"/>
            <rFont val="Tahoma"/>
            <family val="2"/>
          </rPr>
          <t>Must be regular
(YTD average)</t>
        </r>
        <r>
          <rPr>
            <sz val="9"/>
            <color indexed="81"/>
            <rFont val="Tahoma"/>
            <family val="2"/>
          </rPr>
          <t xml:space="preserve">
</t>
        </r>
      </text>
    </comment>
    <comment ref="D11" authorId="0" shapeId="0" xr:uid="{FDE5EB51-07C1-47B4-8A16-D1757E21D027}">
      <text>
        <r>
          <rPr>
            <b/>
            <sz val="9"/>
            <color indexed="81"/>
            <rFont val="Tahoma"/>
            <family val="2"/>
          </rPr>
          <t>Must be contracted and paid on a regular basis.</t>
        </r>
        <r>
          <rPr>
            <sz val="9"/>
            <color indexed="81"/>
            <rFont val="Tahoma"/>
            <family val="2"/>
          </rPr>
          <t xml:space="preserve">
</t>
        </r>
      </text>
    </comment>
    <comment ref="F11" authorId="0" shapeId="0" xr:uid="{E30FC227-5950-4D93-A994-05AD669BC160}">
      <text>
        <r>
          <rPr>
            <b/>
            <sz val="9"/>
            <color indexed="81"/>
            <rFont val="Tahoma"/>
            <family val="2"/>
          </rPr>
          <t xml:space="preserve">Enter average gross amount 
</t>
        </r>
        <r>
          <rPr>
            <sz val="9"/>
            <color indexed="81"/>
            <rFont val="Tahoma"/>
            <family val="2"/>
          </rPr>
          <t xml:space="preserve">(no need to discount)
</t>
        </r>
      </text>
    </comment>
    <comment ref="G11" authorId="0" shapeId="0" xr:uid="{73C8DCA8-F660-4E3C-98F2-51F7BD9FA892}">
      <text>
        <r>
          <rPr>
            <b/>
            <sz val="9"/>
            <color indexed="81"/>
            <rFont val="Tahoma"/>
            <family val="2"/>
          </rPr>
          <t xml:space="preserve">Enter frequency 
(eg. W/F/B/M/A)
</t>
        </r>
        <r>
          <rPr>
            <sz val="9"/>
            <color indexed="81"/>
            <rFont val="Tahoma"/>
            <family val="2"/>
          </rPr>
          <t xml:space="preserve">
</t>
        </r>
      </text>
    </comment>
    <comment ref="C12" authorId="0" shapeId="0" xr:uid="{F76623F5-2DF8-4185-9370-0871D517AF44}">
      <text>
        <r>
          <rPr>
            <b/>
            <sz val="9"/>
            <color indexed="81"/>
            <rFont val="Tahoma"/>
            <family val="2"/>
          </rPr>
          <t>100% Condition of employment
80% Other allowances</t>
        </r>
        <r>
          <rPr>
            <sz val="9"/>
            <color indexed="81"/>
            <rFont val="Tahoma"/>
            <family val="2"/>
          </rPr>
          <t xml:space="preserve">
</t>
        </r>
      </text>
    </comment>
    <comment ref="D12" authorId="0" shapeId="0" xr:uid="{FD01EB9B-AFC0-4452-9346-8D5DE23F8DD4}">
      <text>
        <r>
          <rPr>
            <b/>
            <sz val="9"/>
            <color indexed="81"/>
            <rFont val="Tahoma"/>
            <family val="2"/>
          </rPr>
          <t>Must be condition of employment</t>
        </r>
        <r>
          <rPr>
            <sz val="9"/>
            <color indexed="81"/>
            <rFont val="Tahoma"/>
            <family val="2"/>
          </rPr>
          <t xml:space="preserve">
</t>
        </r>
      </text>
    </comment>
    <comment ref="F12" authorId="0" shapeId="0" xr:uid="{34CBCDF0-3A48-44CA-B91F-923F966C144F}">
      <text>
        <r>
          <rPr>
            <b/>
            <sz val="9"/>
            <color indexed="81"/>
            <rFont val="Tahoma"/>
            <family val="2"/>
          </rPr>
          <t xml:space="preserve">Enter average gross amount 
</t>
        </r>
        <r>
          <rPr>
            <sz val="9"/>
            <color indexed="81"/>
            <rFont val="Tahoma"/>
            <family val="2"/>
          </rPr>
          <t xml:space="preserve">(no need to discount)
</t>
        </r>
      </text>
    </comment>
    <comment ref="G12" authorId="0" shapeId="0" xr:uid="{ED34EE33-A657-4B38-8A95-46CCE8600CDB}">
      <text>
        <r>
          <rPr>
            <b/>
            <sz val="9"/>
            <color indexed="81"/>
            <rFont val="Tahoma"/>
            <family val="2"/>
          </rPr>
          <t xml:space="preserve">Enter frequency 
(eg. W/F/B/M/A)
</t>
        </r>
        <r>
          <rPr>
            <sz val="9"/>
            <color indexed="81"/>
            <rFont val="Tahoma"/>
            <family val="2"/>
          </rPr>
          <t xml:space="preserve">
</t>
        </r>
      </text>
    </comment>
    <comment ref="J12" authorId="0" shapeId="0" xr:uid="{6B4BEF03-31D3-4C1A-9B24-D0ACB1D40EC3}">
      <text>
        <r>
          <rPr>
            <b/>
            <sz val="9"/>
            <color indexed="81"/>
            <rFont val="Tahoma"/>
            <family val="2"/>
          </rPr>
          <t>Enter gross amount</t>
        </r>
        <r>
          <rPr>
            <sz val="9"/>
            <color indexed="81"/>
            <rFont val="Tahoma"/>
            <family val="2"/>
          </rPr>
          <t xml:space="preserve">
(no need to discount)</t>
        </r>
      </text>
    </comment>
    <comment ref="K12" authorId="0" shapeId="0" xr:uid="{D33FB0EE-2D04-4421-90BF-F67DCAAFCEDF}">
      <text>
        <r>
          <rPr>
            <b/>
            <sz val="9"/>
            <color indexed="81"/>
            <rFont val="Tahoma"/>
            <family val="2"/>
          </rPr>
          <t xml:space="preserve">Enter frequency 
(eg. W/F/B/M/A)
</t>
        </r>
        <r>
          <rPr>
            <sz val="9"/>
            <color indexed="81"/>
            <rFont val="Tahoma"/>
            <family val="2"/>
          </rPr>
          <t xml:space="preserve">
</t>
        </r>
      </text>
    </comment>
    <comment ref="L12" authorId="0" shapeId="0" xr:uid="{9F1DAB51-5C56-4589-84B4-317CF6C42BA1}">
      <text>
        <r>
          <rPr>
            <b/>
            <sz val="9"/>
            <color indexed="81"/>
            <rFont val="Tahoma"/>
            <family val="2"/>
          </rPr>
          <t>Enter suburb</t>
        </r>
        <r>
          <rPr>
            <sz val="9"/>
            <color indexed="81"/>
            <rFont val="Tahoma"/>
            <family val="2"/>
          </rPr>
          <t xml:space="preserve">
</t>
        </r>
      </text>
    </comment>
    <comment ref="C13" authorId="0" shapeId="0" xr:uid="{C220F191-C3AC-4532-A58D-90FAD8ED0AFA}">
      <text>
        <r>
          <rPr>
            <b/>
            <sz val="9"/>
            <color indexed="81"/>
            <rFont val="Tahoma"/>
            <family val="2"/>
          </rPr>
          <t>50% current year only
80% avg last 2 years</t>
        </r>
        <r>
          <rPr>
            <sz val="9"/>
            <color indexed="81"/>
            <rFont val="Tahoma"/>
            <family val="2"/>
          </rPr>
          <t xml:space="preserve">
</t>
        </r>
      </text>
    </comment>
    <comment ref="D13" authorId="0" shapeId="0" xr:uid="{9994F654-A427-43F4-A0E6-052D089322D4}">
      <text>
        <r>
          <rPr>
            <b/>
            <sz val="9"/>
            <color indexed="81"/>
            <rFont val="Tahoma"/>
            <family val="2"/>
          </rPr>
          <t>50% current year only
80% avg last 2 years</t>
        </r>
        <r>
          <rPr>
            <sz val="9"/>
            <color indexed="81"/>
            <rFont val="Tahoma"/>
            <family val="2"/>
          </rPr>
          <t xml:space="preserve">
</t>
        </r>
      </text>
    </comment>
    <comment ref="F13" authorId="0" shapeId="0" xr:uid="{7987D288-2742-4A8A-A6B7-A46D66A84783}">
      <text>
        <r>
          <rPr>
            <b/>
            <sz val="9"/>
            <color indexed="81"/>
            <rFont val="Tahoma"/>
            <family val="2"/>
          </rPr>
          <t xml:space="preserve">Enter average gross amount 
</t>
        </r>
        <r>
          <rPr>
            <sz val="9"/>
            <color indexed="81"/>
            <rFont val="Tahoma"/>
            <family val="2"/>
          </rPr>
          <t xml:space="preserve">(no need to discount)
</t>
        </r>
      </text>
    </comment>
    <comment ref="G13" authorId="0" shapeId="0" xr:uid="{2262AA80-3DBB-4498-AFA0-FDDC358AB8C0}">
      <text>
        <r>
          <rPr>
            <b/>
            <sz val="9"/>
            <color indexed="81"/>
            <rFont val="Tahoma"/>
            <family val="2"/>
          </rPr>
          <t xml:space="preserve">Enter frequency 
(eg. W/F/B/M/A)
</t>
        </r>
        <r>
          <rPr>
            <sz val="9"/>
            <color indexed="81"/>
            <rFont val="Tahoma"/>
            <family val="2"/>
          </rPr>
          <t xml:space="preserve">
</t>
        </r>
      </text>
    </comment>
    <comment ref="J13" authorId="0" shapeId="0" xr:uid="{B6459377-2204-4940-B70D-931791475F6A}">
      <text>
        <r>
          <rPr>
            <b/>
            <sz val="9"/>
            <color indexed="81"/>
            <rFont val="Tahoma"/>
            <family val="2"/>
          </rPr>
          <t>Enter gross amount</t>
        </r>
        <r>
          <rPr>
            <sz val="9"/>
            <color indexed="81"/>
            <rFont val="Tahoma"/>
            <family val="2"/>
          </rPr>
          <t xml:space="preserve">
(no need to discount)</t>
        </r>
      </text>
    </comment>
    <comment ref="K13" authorId="0" shapeId="0" xr:uid="{8CA94A52-A1D6-4F08-85FA-E4D9BB64B515}">
      <text>
        <r>
          <rPr>
            <b/>
            <sz val="9"/>
            <color indexed="81"/>
            <rFont val="Tahoma"/>
            <family val="2"/>
          </rPr>
          <t xml:space="preserve">Enter frequency 
(eg. W/F/B/M/A)
</t>
        </r>
        <r>
          <rPr>
            <sz val="9"/>
            <color indexed="81"/>
            <rFont val="Tahoma"/>
            <family val="2"/>
          </rPr>
          <t xml:space="preserve">
</t>
        </r>
      </text>
    </comment>
    <comment ref="L13" authorId="0" shapeId="0" xr:uid="{BD0FB9CD-652F-4A78-B592-1CE2DB7E6CE8}">
      <text>
        <r>
          <rPr>
            <b/>
            <sz val="9"/>
            <color indexed="81"/>
            <rFont val="Tahoma"/>
            <family val="2"/>
          </rPr>
          <t>Enter suburb</t>
        </r>
        <r>
          <rPr>
            <sz val="9"/>
            <color indexed="81"/>
            <rFont val="Tahoma"/>
            <family val="2"/>
          </rPr>
          <t xml:space="preserve">
</t>
        </r>
      </text>
    </comment>
    <comment ref="C14" authorId="0" shapeId="0" xr:uid="{16A744C8-2790-4646-A022-A67C06FEF226}">
      <text>
        <r>
          <rPr>
            <b/>
            <sz val="9"/>
            <color indexed="81"/>
            <rFont val="Tahoma"/>
            <family val="2"/>
          </rPr>
          <t xml:space="preserve">Member No.
</t>
        </r>
        <r>
          <rPr>
            <sz val="9"/>
            <color indexed="81"/>
            <rFont val="Tahoma"/>
            <family val="2"/>
          </rPr>
          <t xml:space="preserve">
</t>
        </r>
      </text>
    </comment>
    <comment ref="D14" authorId="0" shapeId="0" xr:uid="{DAD8975F-EA4C-406D-898D-BCA22B01664A}">
      <text>
        <r>
          <rPr>
            <b/>
            <sz val="9"/>
            <color indexed="81"/>
            <rFont val="Tahoma"/>
            <family val="2"/>
          </rPr>
          <t xml:space="preserve">Enter employer name or self employed
</t>
        </r>
        <r>
          <rPr>
            <sz val="9"/>
            <color indexed="81"/>
            <rFont val="Tahoma"/>
            <family val="2"/>
          </rPr>
          <t xml:space="preserve">
</t>
        </r>
      </text>
    </comment>
    <comment ref="F14" authorId="0" shapeId="0" xr:uid="{8DFA60B5-FC70-4E38-B2C6-9BCBC25B9B53}">
      <text>
        <r>
          <rPr>
            <b/>
            <sz val="9"/>
            <color indexed="81"/>
            <rFont val="Tahoma"/>
            <family val="2"/>
          </rPr>
          <t xml:space="preserve">Base salary 
</t>
        </r>
        <r>
          <rPr>
            <sz val="9"/>
            <color indexed="81"/>
            <rFont val="Tahoma"/>
            <family val="2"/>
          </rPr>
          <t xml:space="preserve">(before tax)
</t>
        </r>
      </text>
    </comment>
    <comment ref="G14" authorId="0" shapeId="0" xr:uid="{DA018367-48C2-4CB1-B2BC-B014DA1C6787}">
      <text>
        <r>
          <rPr>
            <b/>
            <sz val="9"/>
            <color indexed="81"/>
            <rFont val="Tahoma"/>
            <family val="2"/>
          </rPr>
          <t xml:space="preserve">Enter frequency 
(eg. W/F/B/M/A)
</t>
        </r>
        <r>
          <rPr>
            <sz val="9"/>
            <color indexed="81"/>
            <rFont val="Tahoma"/>
            <family val="2"/>
          </rPr>
          <t xml:space="preserve">
</t>
        </r>
      </text>
    </comment>
    <comment ref="C15" authorId="0" shapeId="0" xr:uid="{1D0B3F4F-189F-4E05-B40E-52FF57926465}">
      <text>
        <r>
          <rPr>
            <b/>
            <sz val="9"/>
            <color indexed="81"/>
            <rFont val="Tahoma"/>
            <family val="2"/>
          </rPr>
          <t>Must be regular
(YTD average)</t>
        </r>
        <r>
          <rPr>
            <sz val="9"/>
            <color indexed="81"/>
            <rFont val="Tahoma"/>
            <family val="2"/>
          </rPr>
          <t xml:space="preserve">
</t>
        </r>
      </text>
    </comment>
    <comment ref="D15" authorId="0" shapeId="0" xr:uid="{AB52BC97-7345-4761-9750-1C258494C515}">
      <text>
        <r>
          <rPr>
            <b/>
            <sz val="9"/>
            <color indexed="81"/>
            <rFont val="Tahoma"/>
            <family val="2"/>
          </rPr>
          <t>Average YTD must be regular</t>
        </r>
      </text>
    </comment>
    <comment ref="F15" authorId="0" shapeId="0" xr:uid="{50285A17-2063-42A6-9144-46BF7BC7A5BA}">
      <text>
        <r>
          <rPr>
            <b/>
            <sz val="9"/>
            <color indexed="81"/>
            <rFont val="Tahoma"/>
            <family val="2"/>
          </rPr>
          <t xml:space="preserve">Enter average gross amount 
</t>
        </r>
        <r>
          <rPr>
            <sz val="9"/>
            <color indexed="81"/>
            <rFont val="Tahoma"/>
            <family val="2"/>
          </rPr>
          <t xml:space="preserve">(no need to discount)
</t>
        </r>
      </text>
    </comment>
    <comment ref="G15" authorId="0" shapeId="0" xr:uid="{7234FC79-54BA-4BB4-87A9-BE14206A335E}">
      <text>
        <r>
          <rPr>
            <b/>
            <sz val="9"/>
            <color indexed="81"/>
            <rFont val="Tahoma"/>
            <family val="2"/>
          </rPr>
          <t xml:space="preserve">Enter frequency 
(eg. W/F/B/M/A)
</t>
        </r>
        <r>
          <rPr>
            <sz val="9"/>
            <color indexed="81"/>
            <rFont val="Tahoma"/>
            <family val="2"/>
          </rPr>
          <t xml:space="preserve">
</t>
        </r>
      </text>
    </comment>
    <comment ref="C16" authorId="0" shapeId="0" xr:uid="{D3ABAD0A-1E88-4E8E-9D4F-4E632B733841}">
      <text>
        <r>
          <rPr>
            <b/>
            <sz val="9"/>
            <color indexed="81"/>
            <rFont val="Tahoma"/>
            <family val="2"/>
          </rPr>
          <t>Must be more than 12 months employment</t>
        </r>
        <r>
          <rPr>
            <sz val="9"/>
            <color indexed="81"/>
            <rFont val="Tahoma"/>
            <family val="2"/>
          </rPr>
          <t xml:space="preserve">
</t>
        </r>
      </text>
    </comment>
    <comment ref="D16" authorId="0" shapeId="0" xr:uid="{EB335962-CC80-4C86-A2D1-EFE41E290FF4}">
      <text>
        <r>
          <rPr>
            <b/>
            <sz val="9"/>
            <color indexed="81"/>
            <rFont val="Tahoma"/>
            <family val="2"/>
          </rPr>
          <t>Enter employer name. 
Must be continuous employment.</t>
        </r>
        <r>
          <rPr>
            <sz val="9"/>
            <color indexed="81"/>
            <rFont val="Tahoma"/>
            <family val="2"/>
          </rPr>
          <t xml:space="preserve">
</t>
        </r>
      </text>
    </comment>
    <comment ref="F16" authorId="0" shapeId="0" xr:uid="{3AC732B1-6DCC-416D-86F3-D04F3E58ABF6}">
      <text>
        <r>
          <rPr>
            <b/>
            <sz val="9"/>
            <color indexed="81"/>
            <rFont val="Tahoma"/>
            <family val="2"/>
          </rPr>
          <t xml:space="preserve">Enter average gross amount 
</t>
        </r>
        <r>
          <rPr>
            <sz val="9"/>
            <color indexed="81"/>
            <rFont val="Tahoma"/>
            <family val="2"/>
          </rPr>
          <t xml:space="preserve">(no need to discount)
</t>
        </r>
      </text>
    </comment>
    <comment ref="G16" authorId="0" shapeId="0" xr:uid="{F6217ABA-104B-4CCC-A95C-48616A922A07}">
      <text>
        <r>
          <rPr>
            <b/>
            <sz val="9"/>
            <color indexed="81"/>
            <rFont val="Tahoma"/>
            <family val="2"/>
          </rPr>
          <t xml:space="preserve">Enter frequency 
(eg. W/F/B/M/A)
</t>
        </r>
        <r>
          <rPr>
            <sz val="9"/>
            <color indexed="81"/>
            <rFont val="Tahoma"/>
            <family val="2"/>
          </rPr>
          <t xml:space="preserve">
</t>
        </r>
      </text>
    </comment>
    <comment ref="J16" authorId="0" shapeId="0" xr:uid="{E3F60262-EA81-4B5D-80D1-8BF0F803CA71}">
      <text>
        <r>
          <rPr>
            <b/>
            <sz val="9"/>
            <color indexed="81"/>
            <rFont val="Tahoma"/>
            <family val="2"/>
          </rPr>
          <t>Enter number of adults (max 2)</t>
        </r>
        <r>
          <rPr>
            <sz val="9"/>
            <color indexed="81"/>
            <rFont val="Tahoma"/>
            <family val="2"/>
          </rPr>
          <t xml:space="preserve">
</t>
        </r>
      </text>
    </comment>
    <comment ref="C17" authorId="0" shapeId="0" xr:uid="{3C61C054-03B6-415A-8CDB-104B181A5982}">
      <text>
        <r>
          <rPr>
            <b/>
            <sz val="9"/>
            <color indexed="81"/>
            <rFont val="Tahoma"/>
            <family val="2"/>
          </rPr>
          <t>Must be regular
(YTD average)</t>
        </r>
        <r>
          <rPr>
            <sz val="9"/>
            <color indexed="81"/>
            <rFont val="Tahoma"/>
            <family val="2"/>
          </rPr>
          <t xml:space="preserve">
</t>
        </r>
      </text>
    </comment>
    <comment ref="D17" authorId="0" shapeId="0" xr:uid="{743E7D6C-0D94-4A72-865B-62A71190D87B}">
      <text>
        <r>
          <rPr>
            <b/>
            <sz val="9"/>
            <color indexed="81"/>
            <rFont val="Tahoma"/>
            <family val="2"/>
          </rPr>
          <t>Must be contracted and paid on a regular basis.</t>
        </r>
        <r>
          <rPr>
            <sz val="9"/>
            <color indexed="81"/>
            <rFont val="Tahoma"/>
            <family val="2"/>
          </rPr>
          <t xml:space="preserve">
</t>
        </r>
      </text>
    </comment>
    <comment ref="F17" authorId="0" shapeId="0" xr:uid="{A57F4D85-1BF9-4071-B621-AB58476773EB}">
      <text>
        <r>
          <rPr>
            <b/>
            <sz val="9"/>
            <color indexed="81"/>
            <rFont val="Tahoma"/>
            <family val="2"/>
          </rPr>
          <t xml:space="preserve">Enter average gross amount 
</t>
        </r>
        <r>
          <rPr>
            <sz val="9"/>
            <color indexed="81"/>
            <rFont val="Tahoma"/>
            <family val="2"/>
          </rPr>
          <t xml:space="preserve">(no need to discount)
</t>
        </r>
      </text>
    </comment>
    <comment ref="G17" authorId="0" shapeId="0" xr:uid="{DB65F39A-2D8F-4F36-B3E0-930109CD4ADD}">
      <text>
        <r>
          <rPr>
            <b/>
            <sz val="9"/>
            <color indexed="81"/>
            <rFont val="Tahoma"/>
            <family val="2"/>
          </rPr>
          <t xml:space="preserve">Enter frequency 
(eg. W/F/B/M/A)
</t>
        </r>
        <r>
          <rPr>
            <sz val="9"/>
            <color indexed="81"/>
            <rFont val="Tahoma"/>
            <family val="2"/>
          </rPr>
          <t xml:space="preserve">
</t>
        </r>
      </text>
    </comment>
    <comment ref="J17" authorId="0" shapeId="0" xr:uid="{1D58CD7C-55A7-47E4-B005-E86BBE4D32AA}">
      <text>
        <r>
          <rPr>
            <b/>
            <sz val="9"/>
            <color indexed="81"/>
            <rFont val="Tahoma"/>
            <family val="2"/>
          </rPr>
          <t>Enter number of dependent children (max 6)</t>
        </r>
        <r>
          <rPr>
            <sz val="9"/>
            <color indexed="81"/>
            <rFont val="Tahoma"/>
            <family val="2"/>
          </rPr>
          <t xml:space="preserve">
</t>
        </r>
      </text>
    </comment>
    <comment ref="C18" authorId="0" shapeId="0" xr:uid="{F911D512-6E55-40E9-B303-11F9D2568D42}">
      <text>
        <r>
          <rPr>
            <b/>
            <sz val="9"/>
            <color indexed="81"/>
            <rFont val="Tahoma"/>
            <family val="2"/>
          </rPr>
          <t>100% Condition of employment
80% Other allowances</t>
        </r>
        <r>
          <rPr>
            <sz val="9"/>
            <color indexed="81"/>
            <rFont val="Tahoma"/>
            <family val="2"/>
          </rPr>
          <t xml:space="preserve">
</t>
        </r>
      </text>
    </comment>
    <comment ref="D18" authorId="0" shapeId="0" xr:uid="{CA67C4C0-C8AC-4228-A28E-1BBB69C0A6BC}">
      <text>
        <r>
          <rPr>
            <b/>
            <sz val="9"/>
            <color indexed="81"/>
            <rFont val="Tahoma"/>
            <family val="2"/>
          </rPr>
          <t>Must be condition of employment</t>
        </r>
        <r>
          <rPr>
            <sz val="9"/>
            <color indexed="81"/>
            <rFont val="Tahoma"/>
            <family val="2"/>
          </rPr>
          <t xml:space="preserve">
</t>
        </r>
      </text>
    </comment>
    <comment ref="F18" authorId="0" shapeId="0" xr:uid="{106B0566-A481-4D4D-A770-A4656142AF3C}">
      <text>
        <r>
          <rPr>
            <b/>
            <sz val="9"/>
            <color indexed="81"/>
            <rFont val="Tahoma"/>
            <family val="2"/>
          </rPr>
          <t xml:space="preserve">Enter average gross amount 
</t>
        </r>
        <r>
          <rPr>
            <sz val="9"/>
            <color indexed="81"/>
            <rFont val="Tahoma"/>
            <family val="2"/>
          </rPr>
          <t xml:space="preserve">(no need to discount)
</t>
        </r>
      </text>
    </comment>
    <comment ref="G18" authorId="0" shapeId="0" xr:uid="{A6037587-2A84-46D4-A9CB-DE94ADDC3EC0}">
      <text>
        <r>
          <rPr>
            <b/>
            <sz val="9"/>
            <color indexed="81"/>
            <rFont val="Tahoma"/>
            <family val="2"/>
          </rPr>
          <t xml:space="preserve">Enter frequency 
(eg. W/F/B/M/A)
</t>
        </r>
        <r>
          <rPr>
            <sz val="9"/>
            <color indexed="81"/>
            <rFont val="Tahoma"/>
            <family val="2"/>
          </rPr>
          <t xml:space="preserve">
</t>
        </r>
      </text>
    </comment>
    <comment ref="J18" authorId="0" shapeId="0" xr:uid="{394B3A8F-9F5A-4243-818F-14E6C5865608}">
      <text>
        <r>
          <rPr>
            <b/>
            <sz val="9"/>
            <color indexed="81"/>
            <rFont val="Tahoma"/>
            <family val="2"/>
          </rPr>
          <t xml:space="preserve">Only applies if applicant is over 30 years of age
</t>
        </r>
      </text>
    </comment>
    <comment ref="L18" authorId="0" shapeId="0" xr:uid="{762C67FC-3251-41FC-816C-1861AB6D0F9E}">
      <text>
        <r>
          <rPr>
            <b/>
            <sz val="9"/>
            <color indexed="81"/>
            <rFont val="Tahoma"/>
            <family val="2"/>
          </rPr>
          <t>Applicant disclosed living expenses</t>
        </r>
        <r>
          <rPr>
            <sz val="9"/>
            <color indexed="81"/>
            <rFont val="Tahoma"/>
            <family val="2"/>
          </rPr>
          <t xml:space="preserve">
</t>
        </r>
      </text>
    </comment>
    <comment ref="C19" authorId="0" shapeId="0" xr:uid="{C3B45B05-F36A-494B-B6A6-55653D568655}">
      <text>
        <r>
          <rPr>
            <b/>
            <sz val="9"/>
            <color indexed="81"/>
            <rFont val="Tahoma"/>
            <family val="2"/>
          </rPr>
          <t>50% current year only
80% avg last 2 years</t>
        </r>
        <r>
          <rPr>
            <sz val="9"/>
            <color indexed="81"/>
            <rFont val="Tahoma"/>
            <family val="2"/>
          </rPr>
          <t xml:space="preserve">
</t>
        </r>
      </text>
    </comment>
    <comment ref="D19" authorId="0" shapeId="0" xr:uid="{3541DAD3-1BD2-464B-A948-102DCA688236}">
      <text>
        <r>
          <rPr>
            <b/>
            <sz val="9"/>
            <color indexed="81"/>
            <rFont val="Tahoma"/>
            <family val="2"/>
          </rPr>
          <t>50% current year only
80% avg last 2 years</t>
        </r>
        <r>
          <rPr>
            <sz val="9"/>
            <color indexed="81"/>
            <rFont val="Tahoma"/>
            <family val="2"/>
          </rPr>
          <t xml:space="preserve">
</t>
        </r>
      </text>
    </comment>
    <comment ref="F19" authorId="0" shapeId="0" xr:uid="{69DEA2A7-9C5B-497E-9664-28CD12A24BE1}">
      <text>
        <r>
          <rPr>
            <b/>
            <sz val="9"/>
            <color indexed="81"/>
            <rFont val="Tahoma"/>
            <family val="2"/>
          </rPr>
          <t xml:space="preserve">Enter average gross amount 
</t>
        </r>
        <r>
          <rPr>
            <sz val="9"/>
            <color indexed="81"/>
            <rFont val="Tahoma"/>
            <family val="2"/>
          </rPr>
          <t xml:space="preserve">(no need to discount)
</t>
        </r>
      </text>
    </comment>
    <comment ref="G19" authorId="0" shapeId="0" xr:uid="{364A9104-289B-43E7-8D08-B0E8ECC47C80}">
      <text>
        <r>
          <rPr>
            <b/>
            <sz val="9"/>
            <color indexed="81"/>
            <rFont val="Tahoma"/>
            <family val="2"/>
          </rPr>
          <t xml:space="preserve">Enter frequency 
(eg. W/F/B/M/A)
</t>
        </r>
        <r>
          <rPr>
            <sz val="9"/>
            <color indexed="81"/>
            <rFont val="Tahoma"/>
            <family val="2"/>
          </rPr>
          <t xml:space="preserve">
</t>
        </r>
      </text>
    </comment>
    <comment ref="J19" authorId="0" shapeId="0" xr:uid="{CE7030E9-8424-4842-AC52-971B0A6862A4}">
      <text>
        <r>
          <rPr>
            <b/>
            <sz val="9"/>
            <color indexed="81"/>
            <rFont val="Tahoma"/>
            <family val="2"/>
          </rPr>
          <t>Is proposed loan LMI insured?</t>
        </r>
      </text>
    </comment>
    <comment ref="L19" authorId="0" shapeId="0" xr:uid="{FEF32CB4-FFE4-47AD-BB5F-3546DD72BA73}">
      <text>
        <r>
          <rPr>
            <b/>
            <sz val="9"/>
            <color indexed="81"/>
            <rFont val="Tahoma"/>
            <family val="2"/>
          </rPr>
          <t>MOVE assessed living expenses</t>
        </r>
        <r>
          <rPr>
            <sz val="9"/>
            <color indexed="81"/>
            <rFont val="Tahoma"/>
            <family val="2"/>
          </rPr>
          <t xml:space="preserve">
</t>
        </r>
      </text>
    </comment>
    <comment ref="J20" authorId="0" shapeId="0" xr:uid="{64E38C19-D28C-4FCE-B23D-1D22B43F91D8}">
      <text>
        <r>
          <rPr>
            <b/>
            <sz val="9"/>
            <color indexed="81"/>
            <rFont val="Tahoma"/>
            <family val="2"/>
          </rPr>
          <t xml:space="preserve">Enter residential location. </t>
        </r>
        <r>
          <rPr>
            <sz val="9"/>
            <color indexed="81"/>
            <rFont val="Tahoma"/>
            <family val="2"/>
          </rPr>
          <t xml:space="preserve">(Refer to Geographic Class Tab for more assistance)
</t>
        </r>
      </text>
    </comment>
    <comment ref="C24" authorId="1" shapeId="0" xr:uid="{6A4B8DDC-ECCB-4326-8A25-05EDB5202E58}">
      <text>
        <r>
          <rPr>
            <b/>
            <sz val="9"/>
            <color indexed="81"/>
            <rFont val="Tahoma"/>
            <family val="2"/>
          </rPr>
          <t>Total loan amount including fees, insurance and available redraw</t>
        </r>
        <r>
          <rPr>
            <sz val="9"/>
            <color indexed="81"/>
            <rFont val="Tahoma"/>
            <family val="2"/>
          </rPr>
          <t xml:space="preserve">
</t>
        </r>
      </text>
    </comment>
    <comment ref="G24" authorId="0" shapeId="0" xr:uid="{46E23B5A-4BA8-4EC8-97FE-51697FDF6A62}">
      <text>
        <r>
          <rPr>
            <b/>
            <sz val="9"/>
            <color indexed="81"/>
            <rFont val="Tahoma"/>
            <family val="2"/>
          </rPr>
          <t>Term of loan
(exclude interest only periods)</t>
        </r>
      </text>
    </comment>
    <comment ref="C25" authorId="1" shapeId="0" xr:uid="{8377714F-0974-40D9-A3D4-2970A7D97AF2}">
      <text>
        <r>
          <rPr>
            <b/>
            <sz val="9"/>
            <color indexed="81"/>
            <rFont val="Tahoma"/>
            <family val="2"/>
          </rPr>
          <t>Include loan amount and any available redraw amount</t>
        </r>
        <r>
          <rPr>
            <sz val="9"/>
            <color indexed="81"/>
            <rFont val="Tahoma"/>
            <family val="2"/>
          </rPr>
          <t xml:space="preserve">
</t>
        </r>
      </text>
    </comment>
    <comment ref="E25" authorId="0" shapeId="0" xr:uid="{8ECA2134-D120-4DFC-996F-1906A950241C}">
      <text>
        <r>
          <rPr>
            <b/>
            <sz val="9"/>
            <color indexed="81"/>
            <rFont val="Tahoma"/>
            <family val="2"/>
          </rPr>
          <t xml:space="preserve">Enter interest rate
</t>
        </r>
        <r>
          <rPr>
            <sz val="9"/>
            <color indexed="81"/>
            <rFont val="Tahoma"/>
            <family val="2"/>
          </rPr>
          <t xml:space="preserve">
</t>
        </r>
      </text>
    </comment>
    <comment ref="C26" authorId="1" shapeId="0" xr:uid="{C3BA56CA-0B70-4AB9-8CA3-32B90A3562FC}">
      <text>
        <r>
          <rPr>
            <b/>
            <sz val="9"/>
            <color indexed="81"/>
            <rFont val="Tahoma"/>
            <family val="2"/>
          </rPr>
          <t>Include loan amount and any available redraw amount</t>
        </r>
        <r>
          <rPr>
            <sz val="9"/>
            <color indexed="81"/>
            <rFont val="Tahoma"/>
            <family val="2"/>
          </rPr>
          <t xml:space="preserve">
</t>
        </r>
      </text>
    </comment>
    <comment ref="E26" authorId="0" shapeId="0" xr:uid="{B7ACF12D-6C6D-4806-A7FB-81034DE64448}">
      <text>
        <r>
          <rPr>
            <b/>
            <sz val="9"/>
            <color indexed="81"/>
            <rFont val="Tahoma"/>
            <family val="2"/>
          </rPr>
          <t xml:space="preserve">Enter interest rate
</t>
        </r>
        <r>
          <rPr>
            <sz val="9"/>
            <color indexed="81"/>
            <rFont val="Tahoma"/>
            <family val="2"/>
          </rPr>
          <t xml:space="preserve">
</t>
        </r>
      </text>
    </comment>
    <comment ref="C27" authorId="1" shapeId="0" xr:uid="{A4F16011-0061-4733-A47C-6780EB1EEE9F}">
      <text>
        <r>
          <rPr>
            <b/>
            <sz val="9"/>
            <color indexed="81"/>
            <rFont val="Tahoma"/>
            <family val="2"/>
          </rPr>
          <t>Include loan amount and any available redraw amount</t>
        </r>
        <r>
          <rPr>
            <sz val="9"/>
            <color indexed="81"/>
            <rFont val="Tahoma"/>
            <family val="2"/>
          </rPr>
          <t xml:space="preserve">
</t>
        </r>
      </text>
    </comment>
    <comment ref="E27" authorId="0" shapeId="0" xr:uid="{8C6FFFFF-3A4D-4C95-B497-C3A9001C64F6}">
      <text>
        <r>
          <rPr>
            <b/>
            <sz val="9"/>
            <color indexed="81"/>
            <rFont val="Tahoma"/>
            <family val="2"/>
          </rPr>
          <t xml:space="preserve">Enter interest rate
</t>
        </r>
        <r>
          <rPr>
            <sz val="9"/>
            <color indexed="81"/>
            <rFont val="Tahoma"/>
            <family val="2"/>
          </rPr>
          <t xml:space="preserve">
</t>
        </r>
      </text>
    </comment>
    <comment ref="C28" authorId="1" shapeId="0" xr:uid="{5C210A30-F9C6-40BE-9B9D-EF150378A8F0}">
      <text>
        <r>
          <rPr>
            <b/>
            <sz val="9"/>
            <color indexed="81"/>
            <rFont val="Tahoma"/>
            <family val="2"/>
          </rPr>
          <t>Include loan amount and any available redraw amount</t>
        </r>
        <r>
          <rPr>
            <sz val="9"/>
            <color indexed="81"/>
            <rFont val="Tahoma"/>
            <family val="2"/>
          </rPr>
          <t xml:space="preserve">
</t>
        </r>
      </text>
    </comment>
    <comment ref="E28" authorId="0" shapeId="0" xr:uid="{89399534-7298-4414-9FAC-34295FE5AC18}">
      <text>
        <r>
          <rPr>
            <b/>
            <sz val="9"/>
            <color indexed="81"/>
            <rFont val="Tahoma"/>
            <family val="2"/>
          </rPr>
          <t xml:space="preserve">Enter interest rate
</t>
        </r>
        <r>
          <rPr>
            <sz val="9"/>
            <color indexed="81"/>
            <rFont val="Tahoma"/>
            <family val="2"/>
          </rPr>
          <t xml:space="preserve">
</t>
        </r>
      </text>
    </comment>
    <comment ref="D29" authorId="0" shapeId="0" xr:uid="{ABECD319-3140-444B-97EA-C4C3EFF3059D}">
      <text>
        <r>
          <rPr>
            <b/>
            <sz val="9"/>
            <color indexed="81"/>
            <rFont val="Tahoma"/>
            <family val="2"/>
          </rPr>
          <t xml:space="preserve">Enter frequency 
(eg. W/F/B/M/A)
</t>
        </r>
        <r>
          <rPr>
            <sz val="9"/>
            <color indexed="81"/>
            <rFont val="Tahoma"/>
            <family val="2"/>
          </rPr>
          <t xml:space="preserve">
</t>
        </r>
      </text>
    </comment>
    <comment ref="E29" authorId="0" shapeId="0" xr:uid="{50236002-3720-47E6-A908-510D2DE5CE4F}">
      <text>
        <r>
          <rPr>
            <b/>
            <sz val="9"/>
            <color indexed="81"/>
            <rFont val="Tahoma"/>
            <family val="2"/>
          </rPr>
          <t>Enter 
repayment amount</t>
        </r>
        <r>
          <rPr>
            <sz val="9"/>
            <color indexed="81"/>
            <rFont val="Tahoma"/>
            <family val="2"/>
          </rPr>
          <t xml:space="preserve">
</t>
        </r>
      </text>
    </comment>
    <comment ref="D30" authorId="0" shapeId="0" xr:uid="{07536096-3F27-4CB0-8255-3204873CA806}">
      <text>
        <r>
          <rPr>
            <b/>
            <sz val="9"/>
            <color indexed="81"/>
            <rFont val="Tahoma"/>
            <family val="2"/>
          </rPr>
          <t xml:space="preserve">Enter frequency 
(eg. W/F/B/M/A)
</t>
        </r>
        <r>
          <rPr>
            <sz val="9"/>
            <color indexed="81"/>
            <rFont val="Tahoma"/>
            <family val="2"/>
          </rPr>
          <t xml:space="preserve">
</t>
        </r>
      </text>
    </comment>
    <comment ref="E30" authorId="0" shapeId="0" xr:uid="{79CD587B-AD64-48E2-9614-9EF42D3D9B7F}">
      <text>
        <r>
          <rPr>
            <b/>
            <sz val="9"/>
            <color indexed="81"/>
            <rFont val="Tahoma"/>
            <family val="2"/>
          </rPr>
          <t>Enter 
repayment amount</t>
        </r>
        <r>
          <rPr>
            <sz val="9"/>
            <color indexed="81"/>
            <rFont val="Tahoma"/>
            <family val="2"/>
          </rPr>
          <t xml:space="preserve">
</t>
        </r>
      </text>
    </comment>
    <comment ref="D31" authorId="0" shapeId="0" xr:uid="{1C060760-D378-4D24-800A-4A3D1E153FA1}">
      <text>
        <r>
          <rPr>
            <b/>
            <sz val="9"/>
            <color indexed="81"/>
            <rFont val="Tahoma"/>
            <family val="2"/>
          </rPr>
          <t xml:space="preserve">Enter frequency 
(eg. W/F/B/M/A)
</t>
        </r>
        <r>
          <rPr>
            <sz val="9"/>
            <color indexed="81"/>
            <rFont val="Tahoma"/>
            <family val="2"/>
          </rPr>
          <t xml:space="preserve">
</t>
        </r>
      </text>
    </comment>
    <comment ref="E31" authorId="0" shapeId="0" xr:uid="{7523AB8E-49A1-4CF7-87EE-49AC1464BF88}">
      <text>
        <r>
          <rPr>
            <b/>
            <sz val="9"/>
            <color indexed="81"/>
            <rFont val="Tahoma"/>
            <family val="2"/>
          </rPr>
          <t>Enter 
repayment amount</t>
        </r>
        <r>
          <rPr>
            <sz val="9"/>
            <color indexed="81"/>
            <rFont val="Tahoma"/>
            <family val="2"/>
          </rPr>
          <t xml:space="preserve">
</t>
        </r>
      </text>
    </comment>
    <comment ref="D32" authorId="0" shapeId="0" xr:uid="{996F2D14-C355-4778-8ED8-9CC7514E41C0}">
      <text>
        <r>
          <rPr>
            <b/>
            <sz val="9"/>
            <color indexed="81"/>
            <rFont val="Tahoma"/>
            <family val="2"/>
          </rPr>
          <t xml:space="preserve">Enter frequency 
(eg. W/F/B/M/A)
</t>
        </r>
        <r>
          <rPr>
            <sz val="9"/>
            <color indexed="81"/>
            <rFont val="Tahoma"/>
            <family val="2"/>
          </rPr>
          <t xml:space="preserve">
</t>
        </r>
      </text>
    </comment>
    <comment ref="E32" authorId="0" shapeId="0" xr:uid="{2A35A36F-D8AC-43A0-A741-B16ABBFFEF2E}">
      <text>
        <r>
          <rPr>
            <b/>
            <sz val="9"/>
            <color indexed="81"/>
            <rFont val="Tahoma"/>
            <family val="2"/>
          </rPr>
          <t xml:space="preserve">Enter 
rent or board
</t>
        </r>
      </text>
    </comment>
    <comment ref="D33" authorId="0" shapeId="0" xr:uid="{E4E7357A-8BFB-489E-80EC-C00AA01FD8D4}">
      <text>
        <r>
          <rPr>
            <b/>
            <sz val="9"/>
            <color indexed="81"/>
            <rFont val="Tahoma"/>
            <family val="2"/>
          </rPr>
          <t xml:space="preserve">Enter frequency 
(eg. W/F/B/M/A)
</t>
        </r>
        <r>
          <rPr>
            <sz val="9"/>
            <color indexed="81"/>
            <rFont val="Tahoma"/>
            <family val="2"/>
          </rPr>
          <t xml:space="preserve">
</t>
        </r>
      </text>
    </comment>
    <comment ref="E33" authorId="0" shapeId="0" xr:uid="{5EFE9318-1FFD-46AE-82FB-EA78B909D128}">
      <text>
        <r>
          <rPr>
            <b/>
            <sz val="9"/>
            <color indexed="81"/>
            <rFont val="Tahoma"/>
            <family val="2"/>
          </rPr>
          <t>Enter 
repayment amount</t>
        </r>
        <r>
          <rPr>
            <sz val="9"/>
            <color indexed="81"/>
            <rFont val="Tahoma"/>
            <family val="2"/>
          </rPr>
          <t xml:space="preserve">
</t>
        </r>
      </text>
    </comment>
    <comment ref="D34" authorId="0" shapeId="0" xr:uid="{8BCF961E-0965-4430-BC71-9FBC06FD5184}">
      <text>
        <r>
          <rPr>
            <b/>
            <sz val="9"/>
            <color indexed="81"/>
            <rFont val="Tahoma"/>
            <family val="2"/>
          </rPr>
          <t xml:space="preserve">Enter frequency 
(eg. W/F/B/M/A)
</t>
        </r>
        <r>
          <rPr>
            <sz val="9"/>
            <color indexed="81"/>
            <rFont val="Tahoma"/>
            <family val="2"/>
          </rPr>
          <t xml:space="preserve">
</t>
        </r>
      </text>
    </comment>
    <comment ref="E34" authorId="0" shapeId="0" xr:uid="{6D053F7F-F8A4-49A6-B501-3D801DA28296}">
      <text>
        <r>
          <rPr>
            <b/>
            <sz val="9"/>
            <color indexed="81"/>
            <rFont val="Tahoma"/>
            <family val="2"/>
          </rPr>
          <t>Enter 
repayment amount</t>
        </r>
        <r>
          <rPr>
            <sz val="9"/>
            <color indexed="81"/>
            <rFont val="Tahoma"/>
            <family val="2"/>
          </rPr>
          <t xml:space="preserve">
</t>
        </r>
      </text>
    </comment>
    <comment ref="E35" authorId="0" shapeId="0" xr:uid="{A44A0B91-D61C-470C-A3B6-61D2CBBD0AAD}">
      <text>
        <r>
          <rPr>
            <b/>
            <sz val="9"/>
            <color indexed="81"/>
            <rFont val="Tahoma"/>
            <family val="2"/>
          </rPr>
          <t>Enter credit limit</t>
        </r>
        <r>
          <rPr>
            <sz val="9"/>
            <color indexed="81"/>
            <rFont val="Tahoma"/>
            <family val="2"/>
          </rPr>
          <t xml:space="preserve">
</t>
        </r>
      </text>
    </comment>
    <comment ref="E36" authorId="0" shapeId="0" xr:uid="{98B9D172-F13F-4391-9C09-D683B6194BD3}">
      <text>
        <r>
          <rPr>
            <b/>
            <sz val="9"/>
            <color indexed="81"/>
            <rFont val="Tahoma"/>
            <family val="2"/>
          </rPr>
          <t>Enter credit limit</t>
        </r>
        <r>
          <rPr>
            <sz val="9"/>
            <color indexed="81"/>
            <rFont val="Tahoma"/>
            <family val="2"/>
          </rPr>
          <t xml:space="preserve">
</t>
        </r>
      </text>
    </comment>
    <comment ref="E37" authorId="0" shapeId="0" xr:uid="{BCB4E387-A0D1-4FE4-9A85-4F8A0D639ED0}">
      <text>
        <r>
          <rPr>
            <b/>
            <sz val="9"/>
            <color indexed="81"/>
            <rFont val="Tahoma"/>
            <family val="2"/>
          </rPr>
          <t>Enter credit limit</t>
        </r>
        <r>
          <rPr>
            <sz val="9"/>
            <color indexed="81"/>
            <rFont val="Tahoma"/>
            <family val="2"/>
          </rPr>
          <t xml:space="preserve">
</t>
        </r>
      </text>
    </comment>
    <comment ref="E38" authorId="0" shapeId="0" xr:uid="{CC5AF218-936D-4248-98E9-7115A8380D7C}">
      <text>
        <r>
          <rPr>
            <b/>
            <sz val="9"/>
            <color indexed="81"/>
            <rFont val="Tahoma"/>
            <family val="2"/>
          </rPr>
          <t>Enter credit limit</t>
        </r>
        <r>
          <rPr>
            <sz val="9"/>
            <color indexed="81"/>
            <rFont val="Tahoma"/>
            <family val="2"/>
          </rPr>
          <t xml:space="preserve">
</t>
        </r>
      </text>
    </comment>
    <comment ref="E39" authorId="0" shapeId="0" xr:uid="{F29AB5BF-5012-49FE-B10D-8EE681F790D2}">
      <text>
        <r>
          <rPr>
            <b/>
            <sz val="9"/>
            <color indexed="81"/>
            <rFont val="Tahoma"/>
            <family val="2"/>
          </rPr>
          <t>Enter credit limit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tturner</author>
    <author>Therese Turner</author>
  </authors>
  <commentList>
    <comment ref="K7" authorId="0" shapeId="0" xr:uid="{00000000-0006-0000-0100-000001000000}">
      <text>
        <r>
          <rPr>
            <b/>
            <sz val="9"/>
            <color indexed="81"/>
            <rFont val="Tahoma"/>
            <family val="2"/>
          </rPr>
          <t xml:space="preserve">Enter frequency 
(eg. W/F/B/M/A)
</t>
        </r>
        <r>
          <rPr>
            <sz val="9"/>
            <color indexed="81"/>
            <rFont val="Tahoma"/>
            <family val="2"/>
          </rPr>
          <t xml:space="preserve">
</t>
        </r>
      </text>
    </comment>
    <comment ref="L7" authorId="0" shapeId="0" xr:uid="{00000000-0006-0000-0100-000002000000}">
      <text>
        <r>
          <rPr>
            <b/>
            <sz val="9"/>
            <color indexed="81"/>
            <rFont val="Tahoma"/>
            <family val="2"/>
          </rPr>
          <t>Enter gross amount</t>
        </r>
        <r>
          <rPr>
            <sz val="9"/>
            <color indexed="81"/>
            <rFont val="Tahoma"/>
            <family val="2"/>
          </rPr>
          <t xml:space="preserve">
</t>
        </r>
      </text>
    </comment>
    <comment ref="C8" authorId="0" shapeId="0" xr:uid="{00000000-0006-0000-0100-000003000000}">
      <text>
        <r>
          <rPr>
            <b/>
            <sz val="9"/>
            <color indexed="81"/>
            <rFont val="Tahoma"/>
            <family val="2"/>
          </rPr>
          <t xml:space="preserve">Member No.
</t>
        </r>
        <r>
          <rPr>
            <sz val="9"/>
            <color indexed="81"/>
            <rFont val="Tahoma"/>
            <family val="2"/>
          </rPr>
          <t xml:space="preserve">
</t>
        </r>
      </text>
    </comment>
    <comment ref="D8" authorId="0" shapeId="0" xr:uid="{00000000-0006-0000-0100-000004000000}">
      <text>
        <r>
          <rPr>
            <b/>
            <sz val="9"/>
            <color indexed="81"/>
            <rFont val="Tahoma"/>
            <family val="2"/>
          </rPr>
          <t xml:space="preserve">Enter employer name or self employed
</t>
        </r>
        <r>
          <rPr>
            <sz val="9"/>
            <color indexed="81"/>
            <rFont val="Tahoma"/>
            <family val="2"/>
          </rPr>
          <t xml:space="preserve">
</t>
        </r>
      </text>
    </comment>
    <comment ref="F8" authorId="0" shapeId="0" xr:uid="{00000000-0006-0000-0100-000005000000}">
      <text>
        <r>
          <rPr>
            <b/>
            <sz val="9"/>
            <color indexed="81"/>
            <rFont val="Tahoma"/>
            <family val="2"/>
          </rPr>
          <t xml:space="preserve">Base salary 
</t>
        </r>
        <r>
          <rPr>
            <sz val="9"/>
            <color indexed="81"/>
            <rFont val="Tahoma"/>
            <family val="2"/>
          </rPr>
          <t xml:space="preserve">(before tax)
</t>
        </r>
      </text>
    </comment>
    <comment ref="G8" authorId="0" shapeId="0" xr:uid="{00000000-0006-0000-0100-000006000000}">
      <text>
        <r>
          <rPr>
            <b/>
            <sz val="9"/>
            <color indexed="81"/>
            <rFont val="Tahoma"/>
            <family val="2"/>
          </rPr>
          <t xml:space="preserve">Enter frequency 
(eg. W/F/B/M/A)
</t>
        </r>
        <r>
          <rPr>
            <sz val="9"/>
            <color indexed="81"/>
            <rFont val="Tahoma"/>
            <family val="2"/>
          </rPr>
          <t xml:space="preserve">
</t>
        </r>
      </text>
    </comment>
    <comment ref="K8" authorId="0" shapeId="0" xr:uid="{00000000-0006-0000-0100-000007000000}">
      <text>
        <r>
          <rPr>
            <b/>
            <sz val="9"/>
            <color indexed="81"/>
            <rFont val="Tahoma"/>
            <family val="2"/>
          </rPr>
          <t xml:space="preserve">Enter frequency 
(eg. W/F/B/M/A)
</t>
        </r>
        <r>
          <rPr>
            <sz val="9"/>
            <color indexed="81"/>
            <rFont val="Tahoma"/>
            <family val="2"/>
          </rPr>
          <t xml:space="preserve">
</t>
        </r>
      </text>
    </comment>
    <comment ref="L8" authorId="0" shapeId="0" xr:uid="{00000000-0006-0000-0100-000008000000}">
      <text>
        <r>
          <rPr>
            <b/>
            <sz val="9"/>
            <color indexed="81"/>
            <rFont val="Tahoma"/>
            <family val="2"/>
          </rPr>
          <t>Enter gross amount</t>
        </r>
        <r>
          <rPr>
            <sz val="9"/>
            <color indexed="81"/>
            <rFont val="Tahoma"/>
            <family val="2"/>
          </rPr>
          <t xml:space="preserve">
</t>
        </r>
      </text>
    </comment>
    <comment ref="C9" authorId="0" shapeId="0" xr:uid="{00000000-0006-0000-0100-000009000000}">
      <text>
        <r>
          <rPr>
            <b/>
            <sz val="9"/>
            <color indexed="81"/>
            <rFont val="Tahoma"/>
            <family val="2"/>
          </rPr>
          <t>Must be regular
(YTD average)</t>
        </r>
        <r>
          <rPr>
            <sz val="9"/>
            <color indexed="81"/>
            <rFont val="Tahoma"/>
            <family val="2"/>
          </rPr>
          <t xml:space="preserve">
</t>
        </r>
      </text>
    </comment>
    <comment ref="D9" authorId="0" shapeId="0" xr:uid="{00000000-0006-0000-0100-00000A000000}">
      <text>
        <r>
          <rPr>
            <b/>
            <sz val="9"/>
            <color indexed="81"/>
            <rFont val="Tahoma"/>
            <family val="2"/>
          </rPr>
          <t>Average YTD must be regular</t>
        </r>
      </text>
    </comment>
    <comment ref="F9" authorId="0" shapeId="0" xr:uid="{00000000-0006-0000-0100-00000B000000}">
      <text>
        <r>
          <rPr>
            <b/>
            <sz val="9"/>
            <color indexed="81"/>
            <rFont val="Tahoma"/>
            <family val="2"/>
          </rPr>
          <t xml:space="preserve">Enter average gross amount 
</t>
        </r>
        <r>
          <rPr>
            <sz val="9"/>
            <color indexed="81"/>
            <rFont val="Tahoma"/>
            <family val="2"/>
          </rPr>
          <t xml:space="preserve">(no need to discount)
</t>
        </r>
      </text>
    </comment>
    <comment ref="G9" authorId="0" shapeId="0" xr:uid="{00000000-0006-0000-0100-00000C000000}">
      <text>
        <r>
          <rPr>
            <b/>
            <sz val="9"/>
            <color indexed="81"/>
            <rFont val="Tahoma"/>
            <family val="2"/>
          </rPr>
          <t xml:space="preserve">Enter frequency 
(eg. W/F/B/M/A)
</t>
        </r>
        <r>
          <rPr>
            <sz val="9"/>
            <color indexed="81"/>
            <rFont val="Tahoma"/>
            <family val="2"/>
          </rPr>
          <t xml:space="preserve">
</t>
        </r>
      </text>
    </comment>
    <comment ref="K9" authorId="0" shapeId="0" xr:uid="{00000000-0006-0000-0100-00000D000000}">
      <text>
        <r>
          <rPr>
            <b/>
            <sz val="9"/>
            <color indexed="81"/>
            <rFont val="Tahoma"/>
            <family val="2"/>
          </rPr>
          <t xml:space="preserve">Enter frequency 
(eg. W/F/B/M/A)
</t>
        </r>
        <r>
          <rPr>
            <sz val="9"/>
            <color indexed="81"/>
            <rFont val="Tahoma"/>
            <family val="2"/>
          </rPr>
          <t xml:space="preserve">
</t>
        </r>
      </text>
    </comment>
    <comment ref="L9" authorId="0" shapeId="0" xr:uid="{00000000-0006-0000-0100-00000E000000}">
      <text>
        <r>
          <rPr>
            <b/>
            <sz val="9"/>
            <color indexed="81"/>
            <rFont val="Tahoma"/>
            <family val="2"/>
          </rPr>
          <t>Enter gross amount</t>
        </r>
        <r>
          <rPr>
            <sz val="9"/>
            <color indexed="81"/>
            <rFont val="Tahoma"/>
            <family val="2"/>
          </rPr>
          <t xml:space="preserve">
</t>
        </r>
      </text>
    </comment>
    <comment ref="C10" authorId="0" shapeId="0" xr:uid="{00000000-0006-0000-0100-00000F000000}">
      <text>
        <r>
          <rPr>
            <b/>
            <sz val="9"/>
            <color indexed="81"/>
            <rFont val="Tahoma"/>
            <family val="2"/>
          </rPr>
          <t>Must be more than 12 months employment</t>
        </r>
        <r>
          <rPr>
            <sz val="9"/>
            <color indexed="81"/>
            <rFont val="Tahoma"/>
            <family val="2"/>
          </rPr>
          <t xml:space="preserve">
</t>
        </r>
      </text>
    </comment>
    <comment ref="D10" authorId="0" shapeId="0" xr:uid="{00000000-0006-0000-0100-000010000000}">
      <text>
        <r>
          <rPr>
            <b/>
            <sz val="9"/>
            <color indexed="81"/>
            <rFont val="Tahoma"/>
            <family val="2"/>
          </rPr>
          <t>Enter employer name. 
Must be continuous employment.</t>
        </r>
        <r>
          <rPr>
            <sz val="9"/>
            <color indexed="81"/>
            <rFont val="Tahoma"/>
            <family val="2"/>
          </rPr>
          <t xml:space="preserve">
</t>
        </r>
      </text>
    </comment>
    <comment ref="F10" authorId="0" shapeId="0" xr:uid="{00000000-0006-0000-0100-000011000000}">
      <text>
        <r>
          <rPr>
            <b/>
            <sz val="9"/>
            <color indexed="81"/>
            <rFont val="Tahoma"/>
            <family val="2"/>
          </rPr>
          <t xml:space="preserve">Enter average gross amount 
</t>
        </r>
        <r>
          <rPr>
            <sz val="9"/>
            <color indexed="81"/>
            <rFont val="Tahoma"/>
            <family val="2"/>
          </rPr>
          <t xml:space="preserve">(no need to discount)
</t>
        </r>
      </text>
    </comment>
    <comment ref="G10" authorId="0" shapeId="0" xr:uid="{00000000-0006-0000-0100-000012000000}">
      <text>
        <r>
          <rPr>
            <b/>
            <sz val="9"/>
            <color indexed="81"/>
            <rFont val="Tahoma"/>
            <family val="2"/>
          </rPr>
          <t xml:space="preserve">Enter frequency 
(eg. W/F/B/M/A)
</t>
        </r>
        <r>
          <rPr>
            <sz val="9"/>
            <color indexed="81"/>
            <rFont val="Tahoma"/>
            <family val="2"/>
          </rPr>
          <t xml:space="preserve">
</t>
        </r>
      </text>
    </comment>
    <comment ref="C11" authorId="0" shapeId="0" xr:uid="{00000000-0006-0000-0100-000013000000}">
      <text>
        <r>
          <rPr>
            <b/>
            <sz val="9"/>
            <color indexed="81"/>
            <rFont val="Tahoma"/>
            <family val="2"/>
          </rPr>
          <t>Must be regular
(YTD average)</t>
        </r>
        <r>
          <rPr>
            <sz val="9"/>
            <color indexed="81"/>
            <rFont val="Tahoma"/>
            <family val="2"/>
          </rPr>
          <t xml:space="preserve">
</t>
        </r>
      </text>
    </comment>
    <comment ref="D11" authorId="0" shapeId="0" xr:uid="{00000000-0006-0000-0100-000014000000}">
      <text>
        <r>
          <rPr>
            <b/>
            <sz val="9"/>
            <color indexed="81"/>
            <rFont val="Tahoma"/>
            <family val="2"/>
          </rPr>
          <t>Must be contracted and paid on a regular basis.</t>
        </r>
        <r>
          <rPr>
            <sz val="9"/>
            <color indexed="81"/>
            <rFont val="Tahoma"/>
            <family val="2"/>
          </rPr>
          <t xml:space="preserve">
</t>
        </r>
      </text>
    </comment>
    <comment ref="F11" authorId="0" shapeId="0" xr:uid="{00000000-0006-0000-0100-000015000000}">
      <text>
        <r>
          <rPr>
            <b/>
            <sz val="9"/>
            <color indexed="81"/>
            <rFont val="Tahoma"/>
            <family val="2"/>
          </rPr>
          <t xml:space="preserve">Enter average gross amount 
</t>
        </r>
        <r>
          <rPr>
            <sz val="9"/>
            <color indexed="81"/>
            <rFont val="Tahoma"/>
            <family val="2"/>
          </rPr>
          <t xml:space="preserve">(no need to discount)
</t>
        </r>
      </text>
    </comment>
    <comment ref="G11" authorId="0" shapeId="0" xr:uid="{00000000-0006-0000-0100-000016000000}">
      <text>
        <r>
          <rPr>
            <b/>
            <sz val="9"/>
            <color indexed="81"/>
            <rFont val="Tahoma"/>
            <family val="2"/>
          </rPr>
          <t xml:space="preserve">Enter frequency 
(eg. W/F/B/M/A)
</t>
        </r>
        <r>
          <rPr>
            <sz val="9"/>
            <color indexed="81"/>
            <rFont val="Tahoma"/>
            <family val="2"/>
          </rPr>
          <t xml:space="preserve">
</t>
        </r>
      </text>
    </comment>
    <comment ref="C12" authorId="0" shapeId="0" xr:uid="{CEB50D5C-CADD-482A-BFC8-98C48D8E9188}">
      <text>
        <r>
          <rPr>
            <b/>
            <sz val="9"/>
            <color indexed="81"/>
            <rFont val="Tahoma"/>
            <family val="2"/>
          </rPr>
          <t>100% Condition of employment
80% Other allowances</t>
        </r>
        <r>
          <rPr>
            <sz val="9"/>
            <color indexed="81"/>
            <rFont val="Tahoma"/>
            <family val="2"/>
          </rPr>
          <t xml:space="preserve">
</t>
        </r>
      </text>
    </comment>
    <comment ref="D12" authorId="0" shapeId="0" xr:uid="{00000000-0006-0000-0100-000018000000}">
      <text>
        <r>
          <rPr>
            <b/>
            <sz val="9"/>
            <color indexed="81"/>
            <rFont val="Tahoma"/>
            <family val="2"/>
          </rPr>
          <t>Must be condition of employment</t>
        </r>
        <r>
          <rPr>
            <sz val="9"/>
            <color indexed="81"/>
            <rFont val="Tahoma"/>
            <family val="2"/>
          </rPr>
          <t xml:space="preserve">
</t>
        </r>
      </text>
    </comment>
    <comment ref="F12" authorId="0" shapeId="0" xr:uid="{00000000-0006-0000-0100-000019000000}">
      <text>
        <r>
          <rPr>
            <b/>
            <sz val="9"/>
            <color indexed="81"/>
            <rFont val="Tahoma"/>
            <family val="2"/>
          </rPr>
          <t xml:space="preserve">Enter average gross amount 
</t>
        </r>
        <r>
          <rPr>
            <sz val="9"/>
            <color indexed="81"/>
            <rFont val="Tahoma"/>
            <family val="2"/>
          </rPr>
          <t xml:space="preserve">(no need to discount)
</t>
        </r>
      </text>
    </comment>
    <comment ref="G12" authorId="0" shapeId="0" xr:uid="{00000000-0006-0000-0100-00001A000000}">
      <text>
        <r>
          <rPr>
            <b/>
            <sz val="9"/>
            <color indexed="81"/>
            <rFont val="Tahoma"/>
            <family val="2"/>
          </rPr>
          <t xml:space="preserve">Enter frequency 
(eg. W/F/B/M/A)
</t>
        </r>
        <r>
          <rPr>
            <sz val="9"/>
            <color indexed="81"/>
            <rFont val="Tahoma"/>
            <family val="2"/>
          </rPr>
          <t xml:space="preserve">
</t>
        </r>
      </text>
    </comment>
    <comment ref="J12" authorId="0" shapeId="0" xr:uid="{00000000-0006-0000-0100-00001B000000}">
      <text>
        <r>
          <rPr>
            <b/>
            <sz val="9"/>
            <color indexed="81"/>
            <rFont val="Tahoma"/>
            <family val="2"/>
          </rPr>
          <t>Enter gross amount</t>
        </r>
        <r>
          <rPr>
            <sz val="9"/>
            <color indexed="81"/>
            <rFont val="Tahoma"/>
            <family val="2"/>
          </rPr>
          <t xml:space="preserve">
(no need to discount)</t>
        </r>
      </text>
    </comment>
    <comment ref="K12" authorId="0" shapeId="0" xr:uid="{00000000-0006-0000-0100-00001C000000}">
      <text>
        <r>
          <rPr>
            <b/>
            <sz val="9"/>
            <color indexed="81"/>
            <rFont val="Tahoma"/>
            <family val="2"/>
          </rPr>
          <t xml:space="preserve">Enter frequency 
(eg. W/F/B/M/A)
</t>
        </r>
        <r>
          <rPr>
            <sz val="9"/>
            <color indexed="81"/>
            <rFont val="Tahoma"/>
            <family val="2"/>
          </rPr>
          <t xml:space="preserve">
</t>
        </r>
      </text>
    </comment>
    <comment ref="L12" authorId="0" shapeId="0" xr:uid="{00000000-0006-0000-0100-00001D000000}">
      <text>
        <r>
          <rPr>
            <b/>
            <sz val="9"/>
            <color indexed="81"/>
            <rFont val="Tahoma"/>
            <family val="2"/>
          </rPr>
          <t>Enter suburb</t>
        </r>
        <r>
          <rPr>
            <sz val="9"/>
            <color indexed="81"/>
            <rFont val="Tahoma"/>
            <family val="2"/>
          </rPr>
          <t xml:space="preserve">
</t>
        </r>
      </text>
    </comment>
    <comment ref="C13" authorId="0" shapeId="0" xr:uid="{00000000-0006-0000-0100-00001E000000}">
      <text>
        <r>
          <rPr>
            <b/>
            <sz val="9"/>
            <color indexed="81"/>
            <rFont val="Tahoma"/>
            <family val="2"/>
          </rPr>
          <t>50% current year only
80% avg last 2 years</t>
        </r>
        <r>
          <rPr>
            <sz val="9"/>
            <color indexed="81"/>
            <rFont val="Tahoma"/>
            <family val="2"/>
          </rPr>
          <t xml:space="preserve">
</t>
        </r>
      </text>
    </comment>
    <comment ref="D13" authorId="0" shapeId="0" xr:uid="{00000000-0006-0000-0100-00001F000000}">
      <text>
        <r>
          <rPr>
            <b/>
            <sz val="9"/>
            <color indexed="81"/>
            <rFont val="Tahoma"/>
            <family val="2"/>
          </rPr>
          <t>50% current year only
80% avg last 2 years</t>
        </r>
        <r>
          <rPr>
            <sz val="9"/>
            <color indexed="81"/>
            <rFont val="Tahoma"/>
            <family val="2"/>
          </rPr>
          <t xml:space="preserve">
</t>
        </r>
      </text>
    </comment>
    <comment ref="F13" authorId="0" shapeId="0" xr:uid="{00000000-0006-0000-0100-000020000000}">
      <text>
        <r>
          <rPr>
            <b/>
            <sz val="9"/>
            <color indexed="81"/>
            <rFont val="Tahoma"/>
            <family val="2"/>
          </rPr>
          <t xml:space="preserve">Enter average gross amount 
</t>
        </r>
        <r>
          <rPr>
            <sz val="9"/>
            <color indexed="81"/>
            <rFont val="Tahoma"/>
            <family val="2"/>
          </rPr>
          <t xml:space="preserve">(no need to discount)
</t>
        </r>
      </text>
    </comment>
    <comment ref="G13" authorId="0" shapeId="0" xr:uid="{00000000-0006-0000-0100-000021000000}">
      <text>
        <r>
          <rPr>
            <b/>
            <sz val="9"/>
            <color indexed="81"/>
            <rFont val="Tahoma"/>
            <family val="2"/>
          </rPr>
          <t xml:space="preserve">Enter frequency 
(eg. W/F/B/M/A)
</t>
        </r>
        <r>
          <rPr>
            <sz val="9"/>
            <color indexed="81"/>
            <rFont val="Tahoma"/>
            <family val="2"/>
          </rPr>
          <t xml:space="preserve">
</t>
        </r>
      </text>
    </comment>
    <comment ref="J13" authorId="0" shapeId="0" xr:uid="{00000000-0006-0000-0100-000022000000}">
      <text>
        <r>
          <rPr>
            <b/>
            <sz val="9"/>
            <color indexed="81"/>
            <rFont val="Tahoma"/>
            <family val="2"/>
          </rPr>
          <t>Enter gross amount</t>
        </r>
        <r>
          <rPr>
            <sz val="9"/>
            <color indexed="81"/>
            <rFont val="Tahoma"/>
            <family val="2"/>
          </rPr>
          <t xml:space="preserve">
(no need to discount)</t>
        </r>
      </text>
    </comment>
    <comment ref="K13" authorId="0" shapeId="0" xr:uid="{00000000-0006-0000-0100-000023000000}">
      <text>
        <r>
          <rPr>
            <b/>
            <sz val="9"/>
            <color indexed="81"/>
            <rFont val="Tahoma"/>
            <family val="2"/>
          </rPr>
          <t xml:space="preserve">Enter frequency 
(eg. W/F/B/M/A)
</t>
        </r>
        <r>
          <rPr>
            <sz val="9"/>
            <color indexed="81"/>
            <rFont val="Tahoma"/>
            <family val="2"/>
          </rPr>
          <t xml:space="preserve">
</t>
        </r>
      </text>
    </comment>
    <comment ref="L13" authorId="0" shapeId="0" xr:uid="{00000000-0006-0000-0100-000024000000}">
      <text>
        <r>
          <rPr>
            <b/>
            <sz val="9"/>
            <color indexed="81"/>
            <rFont val="Tahoma"/>
            <family val="2"/>
          </rPr>
          <t>Enter suburb</t>
        </r>
        <r>
          <rPr>
            <sz val="9"/>
            <color indexed="81"/>
            <rFont val="Tahoma"/>
            <family val="2"/>
          </rPr>
          <t xml:space="preserve">
</t>
        </r>
      </text>
    </comment>
    <comment ref="C14" authorId="0" shapeId="0" xr:uid="{00000000-0006-0000-0100-000025000000}">
      <text>
        <r>
          <rPr>
            <b/>
            <sz val="9"/>
            <color indexed="81"/>
            <rFont val="Tahoma"/>
            <family val="2"/>
          </rPr>
          <t xml:space="preserve">Member No.
</t>
        </r>
        <r>
          <rPr>
            <sz val="9"/>
            <color indexed="81"/>
            <rFont val="Tahoma"/>
            <family val="2"/>
          </rPr>
          <t xml:space="preserve">
</t>
        </r>
      </text>
    </comment>
    <comment ref="D14" authorId="0" shapeId="0" xr:uid="{00000000-0006-0000-0100-000026000000}">
      <text>
        <r>
          <rPr>
            <b/>
            <sz val="9"/>
            <color indexed="81"/>
            <rFont val="Tahoma"/>
            <family val="2"/>
          </rPr>
          <t xml:space="preserve">Enter employer name or self employed
</t>
        </r>
        <r>
          <rPr>
            <sz val="9"/>
            <color indexed="81"/>
            <rFont val="Tahoma"/>
            <family val="2"/>
          </rPr>
          <t xml:space="preserve">
</t>
        </r>
      </text>
    </comment>
    <comment ref="F14" authorId="0" shapeId="0" xr:uid="{00000000-0006-0000-0100-000027000000}">
      <text>
        <r>
          <rPr>
            <b/>
            <sz val="9"/>
            <color indexed="81"/>
            <rFont val="Tahoma"/>
            <family val="2"/>
          </rPr>
          <t xml:space="preserve">Base salary 
</t>
        </r>
        <r>
          <rPr>
            <sz val="9"/>
            <color indexed="81"/>
            <rFont val="Tahoma"/>
            <family val="2"/>
          </rPr>
          <t xml:space="preserve">(before tax)
</t>
        </r>
      </text>
    </comment>
    <comment ref="G14" authorId="0" shapeId="0" xr:uid="{00000000-0006-0000-0100-000028000000}">
      <text>
        <r>
          <rPr>
            <b/>
            <sz val="9"/>
            <color indexed="81"/>
            <rFont val="Tahoma"/>
            <family val="2"/>
          </rPr>
          <t xml:space="preserve">Enter frequency 
(eg. W/F/B/M/A)
</t>
        </r>
        <r>
          <rPr>
            <sz val="9"/>
            <color indexed="81"/>
            <rFont val="Tahoma"/>
            <family val="2"/>
          </rPr>
          <t xml:space="preserve">
</t>
        </r>
      </text>
    </comment>
    <comment ref="C15" authorId="0" shapeId="0" xr:uid="{00000000-0006-0000-0100-000029000000}">
      <text>
        <r>
          <rPr>
            <b/>
            <sz val="9"/>
            <color indexed="81"/>
            <rFont val="Tahoma"/>
            <family val="2"/>
          </rPr>
          <t>Must be regular
(YTD average)</t>
        </r>
        <r>
          <rPr>
            <sz val="9"/>
            <color indexed="81"/>
            <rFont val="Tahoma"/>
            <family val="2"/>
          </rPr>
          <t xml:space="preserve">
</t>
        </r>
      </text>
    </comment>
    <comment ref="D15" authorId="0" shapeId="0" xr:uid="{00000000-0006-0000-0100-00002A000000}">
      <text>
        <r>
          <rPr>
            <b/>
            <sz val="9"/>
            <color indexed="81"/>
            <rFont val="Tahoma"/>
            <family val="2"/>
          </rPr>
          <t>Average YTD must be regular</t>
        </r>
      </text>
    </comment>
    <comment ref="F15" authorId="0" shapeId="0" xr:uid="{00000000-0006-0000-0100-00002B000000}">
      <text>
        <r>
          <rPr>
            <b/>
            <sz val="9"/>
            <color indexed="81"/>
            <rFont val="Tahoma"/>
            <family val="2"/>
          </rPr>
          <t xml:space="preserve">Enter average gross amount 
</t>
        </r>
        <r>
          <rPr>
            <sz val="9"/>
            <color indexed="81"/>
            <rFont val="Tahoma"/>
            <family val="2"/>
          </rPr>
          <t xml:space="preserve">(no need to discount)
</t>
        </r>
      </text>
    </comment>
    <comment ref="G15" authorId="0" shapeId="0" xr:uid="{00000000-0006-0000-0100-00002C000000}">
      <text>
        <r>
          <rPr>
            <b/>
            <sz val="9"/>
            <color indexed="81"/>
            <rFont val="Tahoma"/>
            <family val="2"/>
          </rPr>
          <t xml:space="preserve">Enter frequency 
(eg. W/F/B/M/A)
</t>
        </r>
        <r>
          <rPr>
            <sz val="9"/>
            <color indexed="81"/>
            <rFont val="Tahoma"/>
            <family val="2"/>
          </rPr>
          <t xml:space="preserve">
</t>
        </r>
      </text>
    </comment>
    <comment ref="C16" authorId="0" shapeId="0" xr:uid="{00000000-0006-0000-0100-00002D000000}">
      <text>
        <r>
          <rPr>
            <b/>
            <sz val="9"/>
            <color indexed="81"/>
            <rFont val="Tahoma"/>
            <family val="2"/>
          </rPr>
          <t>Must be more than 12 months employment</t>
        </r>
        <r>
          <rPr>
            <sz val="9"/>
            <color indexed="81"/>
            <rFont val="Tahoma"/>
            <family val="2"/>
          </rPr>
          <t xml:space="preserve">
</t>
        </r>
      </text>
    </comment>
    <comment ref="D16" authorId="0" shapeId="0" xr:uid="{00000000-0006-0000-0100-00002E000000}">
      <text>
        <r>
          <rPr>
            <b/>
            <sz val="9"/>
            <color indexed="81"/>
            <rFont val="Tahoma"/>
            <family val="2"/>
          </rPr>
          <t>Enter employer name. 
Must be continuous employment.</t>
        </r>
        <r>
          <rPr>
            <sz val="9"/>
            <color indexed="81"/>
            <rFont val="Tahoma"/>
            <family val="2"/>
          </rPr>
          <t xml:space="preserve">
</t>
        </r>
      </text>
    </comment>
    <comment ref="F16" authorId="0" shapeId="0" xr:uid="{00000000-0006-0000-0100-00002F000000}">
      <text>
        <r>
          <rPr>
            <b/>
            <sz val="9"/>
            <color indexed="81"/>
            <rFont val="Tahoma"/>
            <family val="2"/>
          </rPr>
          <t xml:space="preserve">Enter average gross amount 
</t>
        </r>
        <r>
          <rPr>
            <sz val="9"/>
            <color indexed="81"/>
            <rFont val="Tahoma"/>
            <family val="2"/>
          </rPr>
          <t xml:space="preserve">(no need to discount)
</t>
        </r>
      </text>
    </comment>
    <comment ref="G16" authorId="0" shapeId="0" xr:uid="{00000000-0006-0000-0100-000030000000}">
      <text>
        <r>
          <rPr>
            <b/>
            <sz val="9"/>
            <color indexed="81"/>
            <rFont val="Tahoma"/>
            <family val="2"/>
          </rPr>
          <t xml:space="preserve">Enter frequency 
(eg. W/F/B/M/A)
</t>
        </r>
        <r>
          <rPr>
            <sz val="9"/>
            <color indexed="81"/>
            <rFont val="Tahoma"/>
            <family val="2"/>
          </rPr>
          <t xml:space="preserve">
</t>
        </r>
      </text>
    </comment>
    <comment ref="J16" authorId="0" shapeId="0" xr:uid="{00000000-0006-0000-0100-000031000000}">
      <text>
        <r>
          <rPr>
            <b/>
            <sz val="9"/>
            <color indexed="81"/>
            <rFont val="Tahoma"/>
            <family val="2"/>
          </rPr>
          <t>Enter number of adults (max 2)</t>
        </r>
        <r>
          <rPr>
            <sz val="9"/>
            <color indexed="81"/>
            <rFont val="Tahoma"/>
            <family val="2"/>
          </rPr>
          <t xml:space="preserve">
</t>
        </r>
      </text>
    </comment>
    <comment ref="C17" authorId="0" shapeId="0" xr:uid="{00000000-0006-0000-0100-000032000000}">
      <text>
        <r>
          <rPr>
            <b/>
            <sz val="9"/>
            <color indexed="81"/>
            <rFont val="Tahoma"/>
            <family val="2"/>
          </rPr>
          <t>Must be regular
(YTD average)</t>
        </r>
        <r>
          <rPr>
            <sz val="9"/>
            <color indexed="81"/>
            <rFont val="Tahoma"/>
            <family val="2"/>
          </rPr>
          <t xml:space="preserve">
</t>
        </r>
      </text>
    </comment>
    <comment ref="D17" authorId="0" shapeId="0" xr:uid="{00000000-0006-0000-0100-000033000000}">
      <text>
        <r>
          <rPr>
            <b/>
            <sz val="9"/>
            <color indexed="81"/>
            <rFont val="Tahoma"/>
            <family val="2"/>
          </rPr>
          <t>Must be contracted and paid on a regular basis.</t>
        </r>
        <r>
          <rPr>
            <sz val="9"/>
            <color indexed="81"/>
            <rFont val="Tahoma"/>
            <family val="2"/>
          </rPr>
          <t xml:space="preserve">
</t>
        </r>
      </text>
    </comment>
    <comment ref="F17" authorId="0" shapeId="0" xr:uid="{00000000-0006-0000-0100-000034000000}">
      <text>
        <r>
          <rPr>
            <b/>
            <sz val="9"/>
            <color indexed="81"/>
            <rFont val="Tahoma"/>
            <family val="2"/>
          </rPr>
          <t xml:space="preserve">Enter average gross amount 
</t>
        </r>
        <r>
          <rPr>
            <sz val="9"/>
            <color indexed="81"/>
            <rFont val="Tahoma"/>
            <family val="2"/>
          </rPr>
          <t xml:space="preserve">(no need to discount)
</t>
        </r>
      </text>
    </comment>
    <comment ref="G17" authorId="0" shapeId="0" xr:uid="{00000000-0006-0000-0100-000035000000}">
      <text>
        <r>
          <rPr>
            <b/>
            <sz val="9"/>
            <color indexed="81"/>
            <rFont val="Tahoma"/>
            <family val="2"/>
          </rPr>
          <t xml:space="preserve">Enter frequency 
(eg. W/F/B/M/A)
</t>
        </r>
        <r>
          <rPr>
            <sz val="9"/>
            <color indexed="81"/>
            <rFont val="Tahoma"/>
            <family val="2"/>
          </rPr>
          <t xml:space="preserve">
</t>
        </r>
      </text>
    </comment>
    <comment ref="J17" authorId="0" shapeId="0" xr:uid="{00000000-0006-0000-0100-000036000000}">
      <text>
        <r>
          <rPr>
            <b/>
            <sz val="9"/>
            <color indexed="81"/>
            <rFont val="Tahoma"/>
            <family val="2"/>
          </rPr>
          <t>Enter number of dependent children (max 6)</t>
        </r>
        <r>
          <rPr>
            <sz val="9"/>
            <color indexed="81"/>
            <rFont val="Tahoma"/>
            <family val="2"/>
          </rPr>
          <t xml:space="preserve">
</t>
        </r>
      </text>
    </comment>
    <comment ref="C18" authorId="0" shapeId="0" xr:uid="{00000000-0006-0000-0100-000037000000}">
      <text>
        <r>
          <rPr>
            <b/>
            <sz val="9"/>
            <color indexed="81"/>
            <rFont val="Tahoma"/>
            <family val="2"/>
          </rPr>
          <t>100% Condition of employment
80% Other allowances</t>
        </r>
        <r>
          <rPr>
            <sz val="9"/>
            <color indexed="81"/>
            <rFont val="Tahoma"/>
            <family val="2"/>
          </rPr>
          <t xml:space="preserve">
</t>
        </r>
      </text>
    </comment>
    <comment ref="D18" authorId="0" shapeId="0" xr:uid="{00000000-0006-0000-0100-000038000000}">
      <text>
        <r>
          <rPr>
            <b/>
            <sz val="9"/>
            <color indexed="81"/>
            <rFont val="Tahoma"/>
            <family val="2"/>
          </rPr>
          <t>Must be condition of employment</t>
        </r>
        <r>
          <rPr>
            <sz val="9"/>
            <color indexed="81"/>
            <rFont val="Tahoma"/>
            <family val="2"/>
          </rPr>
          <t xml:space="preserve">
</t>
        </r>
      </text>
    </comment>
    <comment ref="F18" authorId="0" shapeId="0" xr:uid="{00000000-0006-0000-0100-000039000000}">
      <text>
        <r>
          <rPr>
            <b/>
            <sz val="9"/>
            <color indexed="81"/>
            <rFont val="Tahoma"/>
            <family val="2"/>
          </rPr>
          <t xml:space="preserve">Enter average gross amount 
</t>
        </r>
        <r>
          <rPr>
            <sz val="9"/>
            <color indexed="81"/>
            <rFont val="Tahoma"/>
            <family val="2"/>
          </rPr>
          <t xml:space="preserve">(no need to discount)
</t>
        </r>
      </text>
    </comment>
    <comment ref="G18" authorId="0" shapeId="0" xr:uid="{00000000-0006-0000-0100-00003A000000}">
      <text>
        <r>
          <rPr>
            <b/>
            <sz val="9"/>
            <color indexed="81"/>
            <rFont val="Tahoma"/>
            <family val="2"/>
          </rPr>
          <t xml:space="preserve">Enter frequency 
(eg. W/F/B/M/A)
</t>
        </r>
        <r>
          <rPr>
            <sz val="9"/>
            <color indexed="81"/>
            <rFont val="Tahoma"/>
            <family val="2"/>
          </rPr>
          <t xml:space="preserve">
</t>
        </r>
      </text>
    </comment>
    <comment ref="J18" authorId="0" shapeId="0" xr:uid="{00000000-0006-0000-0100-00003B000000}">
      <text>
        <r>
          <rPr>
            <b/>
            <sz val="9"/>
            <color indexed="81"/>
            <rFont val="Tahoma"/>
            <family val="2"/>
          </rPr>
          <t xml:space="preserve">Only applies if applicant is over 30 years of age
</t>
        </r>
      </text>
    </comment>
    <comment ref="L18" authorId="0" shapeId="0" xr:uid="{00000000-0006-0000-0100-00003C000000}">
      <text>
        <r>
          <rPr>
            <b/>
            <sz val="9"/>
            <color indexed="81"/>
            <rFont val="Tahoma"/>
            <family val="2"/>
          </rPr>
          <t>Applicant disclosed living expenses</t>
        </r>
        <r>
          <rPr>
            <sz val="9"/>
            <color indexed="81"/>
            <rFont val="Tahoma"/>
            <family val="2"/>
          </rPr>
          <t xml:space="preserve">
</t>
        </r>
      </text>
    </comment>
    <comment ref="C19" authorId="0" shapeId="0" xr:uid="{DF54B45E-71D8-4745-88C4-61C542C6822D}">
      <text>
        <r>
          <rPr>
            <b/>
            <sz val="9"/>
            <color indexed="81"/>
            <rFont val="Tahoma"/>
            <family val="2"/>
          </rPr>
          <t>50% current year only
80% avg last 2 years</t>
        </r>
        <r>
          <rPr>
            <sz val="9"/>
            <color indexed="81"/>
            <rFont val="Tahoma"/>
            <family val="2"/>
          </rPr>
          <t xml:space="preserve">
</t>
        </r>
      </text>
    </comment>
    <comment ref="D19" authorId="0" shapeId="0" xr:uid="{00000000-0006-0000-0100-00003E000000}">
      <text>
        <r>
          <rPr>
            <b/>
            <sz val="9"/>
            <color indexed="81"/>
            <rFont val="Tahoma"/>
            <family val="2"/>
          </rPr>
          <t>50% current year only
80% avg last 2 years</t>
        </r>
        <r>
          <rPr>
            <sz val="9"/>
            <color indexed="81"/>
            <rFont val="Tahoma"/>
            <family val="2"/>
          </rPr>
          <t xml:space="preserve">
</t>
        </r>
      </text>
    </comment>
    <comment ref="F19" authorId="0" shapeId="0" xr:uid="{00000000-0006-0000-0100-00003F000000}">
      <text>
        <r>
          <rPr>
            <b/>
            <sz val="9"/>
            <color indexed="81"/>
            <rFont val="Tahoma"/>
            <family val="2"/>
          </rPr>
          <t xml:space="preserve">Enter average gross amount 
</t>
        </r>
        <r>
          <rPr>
            <sz val="9"/>
            <color indexed="81"/>
            <rFont val="Tahoma"/>
            <family val="2"/>
          </rPr>
          <t xml:space="preserve">(no need to discount)
</t>
        </r>
      </text>
    </comment>
    <comment ref="G19" authorId="0" shapeId="0" xr:uid="{00000000-0006-0000-0100-000040000000}">
      <text>
        <r>
          <rPr>
            <b/>
            <sz val="9"/>
            <color indexed="81"/>
            <rFont val="Tahoma"/>
            <family val="2"/>
          </rPr>
          <t xml:space="preserve">Enter frequency 
(eg. W/F/B/M/A)
</t>
        </r>
        <r>
          <rPr>
            <sz val="9"/>
            <color indexed="81"/>
            <rFont val="Tahoma"/>
            <family val="2"/>
          </rPr>
          <t xml:space="preserve">
</t>
        </r>
      </text>
    </comment>
    <comment ref="J19" authorId="0" shapeId="0" xr:uid="{50526573-AFA8-43AE-82C9-5EA0D37A78BC}">
      <text>
        <r>
          <rPr>
            <b/>
            <sz val="9"/>
            <color indexed="81"/>
            <rFont val="Tahoma"/>
            <family val="2"/>
          </rPr>
          <t>Is proposed loan LMI insured?</t>
        </r>
      </text>
    </comment>
    <comment ref="L19" authorId="0" shapeId="0" xr:uid="{10CA9B97-427C-45DA-9C64-C263D4CFAAA9}">
      <text>
        <r>
          <rPr>
            <b/>
            <sz val="9"/>
            <color indexed="81"/>
            <rFont val="Tahoma"/>
            <family val="2"/>
          </rPr>
          <t>MOVE assessed living expenses</t>
        </r>
        <r>
          <rPr>
            <sz val="9"/>
            <color indexed="81"/>
            <rFont val="Tahoma"/>
            <family val="2"/>
          </rPr>
          <t xml:space="preserve">
</t>
        </r>
      </text>
    </comment>
    <comment ref="J20" authorId="0" shapeId="0" xr:uid="{00000000-0006-0000-0100-000041000000}">
      <text>
        <r>
          <rPr>
            <b/>
            <sz val="9"/>
            <color indexed="81"/>
            <rFont val="Tahoma"/>
            <family val="2"/>
          </rPr>
          <t xml:space="preserve">Enter residential location. </t>
        </r>
        <r>
          <rPr>
            <sz val="9"/>
            <color indexed="81"/>
            <rFont val="Tahoma"/>
            <family val="2"/>
          </rPr>
          <t xml:space="preserve">(Refer to Geographic Class Tab for more assistance)
</t>
        </r>
      </text>
    </comment>
    <comment ref="C24" authorId="1" shapeId="0" xr:uid="{00000000-0006-0000-0100-000042000000}">
      <text>
        <r>
          <rPr>
            <b/>
            <sz val="9"/>
            <color indexed="81"/>
            <rFont val="Tahoma"/>
            <family val="2"/>
          </rPr>
          <t>Total loan amount including fees, insurance and available redraw</t>
        </r>
        <r>
          <rPr>
            <sz val="9"/>
            <color indexed="81"/>
            <rFont val="Tahoma"/>
            <family val="2"/>
          </rPr>
          <t xml:space="preserve">
</t>
        </r>
      </text>
    </comment>
    <comment ref="G24" authorId="0" shapeId="0" xr:uid="{00000000-0006-0000-0100-000043000000}">
      <text>
        <r>
          <rPr>
            <b/>
            <sz val="9"/>
            <color indexed="81"/>
            <rFont val="Tahoma"/>
            <family val="2"/>
          </rPr>
          <t>Term of loan
(exclude interest only periods)</t>
        </r>
      </text>
    </comment>
    <comment ref="C25" authorId="1" shapeId="0" xr:uid="{00000000-0006-0000-0100-000045000000}">
      <text>
        <r>
          <rPr>
            <b/>
            <sz val="9"/>
            <color indexed="81"/>
            <rFont val="Tahoma"/>
            <family val="2"/>
          </rPr>
          <t>Include loan amount and any available redraw amount</t>
        </r>
        <r>
          <rPr>
            <sz val="9"/>
            <color indexed="81"/>
            <rFont val="Tahoma"/>
            <family val="2"/>
          </rPr>
          <t xml:space="preserve">
</t>
        </r>
      </text>
    </comment>
    <comment ref="E25" authorId="0" shapeId="0" xr:uid="{00000000-0006-0000-0100-000046000000}">
      <text>
        <r>
          <rPr>
            <b/>
            <sz val="9"/>
            <color indexed="81"/>
            <rFont val="Tahoma"/>
            <family val="2"/>
          </rPr>
          <t xml:space="preserve">Enter interest rate
</t>
        </r>
        <r>
          <rPr>
            <sz val="9"/>
            <color indexed="81"/>
            <rFont val="Tahoma"/>
            <family val="2"/>
          </rPr>
          <t xml:space="preserve">
</t>
        </r>
      </text>
    </comment>
    <comment ref="C26" authorId="1" shapeId="0" xr:uid="{00000000-0006-0000-0100-000047000000}">
      <text>
        <r>
          <rPr>
            <b/>
            <sz val="9"/>
            <color indexed="81"/>
            <rFont val="Tahoma"/>
            <family val="2"/>
          </rPr>
          <t>Include loan amount and any available redraw amount</t>
        </r>
        <r>
          <rPr>
            <sz val="9"/>
            <color indexed="81"/>
            <rFont val="Tahoma"/>
            <family val="2"/>
          </rPr>
          <t xml:space="preserve">
</t>
        </r>
      </text>
    </comment>
    <comment ref="E26" authorId="0" shapeId="0" xr:uid="{00000000-0006-0000-0100-000048000000}">
      <text>
        <r>
          <rPr>
            <b/>
            <sz val="9"/>
            <color indexed="81"/>
            <rFont val="Tahoma"/>
            <family val="2"/>
          </rPr>
          <t xml:space="preserve">Enter interest rate
</t>
        </r>
        <r>
          <rPr>
            <sz val="9"/>
            <color indexed="81"/>
            <rFont val="Tahoma"/>
            <family val="2"/>
          </rPr>
          <t xml:space="preserve">
</t>
        </r>
      </text>
    </comment>
    <comment ref="C27" authorId="1" shapeId="0" xr:uid="{00000000-0006-0000-0100-000049000000}">
      <text>
        <r>
          <rPr>
            <b/>
            <sz val="9"/>
            <color indexed="81"/>
            <rFont val="Tahoma"/>
            <family val="2"/>
          </rPr>
          <t>Include loan amount and any available redraw amount</t>
        </r>
        <r>
          <rPr>
            <sz val="9"/>
            <color indexed="81"/>
            <rFont val="Tahoma"/>
            <family val="2"/>
          </rPr>
          <t xml:space="preserve">
</t>
        </r>
      </text>
    </comment>
    <comment ref="E27" authorId="0" shapeId="0" xr:uid="{00000000-0006-0000-0100-00004A000000}">
      <text>
        <r>
          <rPr>
            <b/>
            <sz val="9"/>
            <color indexed="81"/>
            <rFont val="Tahoma"/>
            <family val="2"/>
          </rPr>
          <t xml:space="preserve">Enter interest rate
</t>
        </r>
        <r>
          <rPr>
            <sz val="9"/>
            <color indexed="81"/>
            <rFont val="Tahoma"/>
            <family val="2"/>
          </rPr>
          <t xml:space="preserve">
</t>
        </r>
      </text>
    </comment>
    <comment ref="C28" authorId="1" shapeId="0" xr:uid="{00000000-0006-0000-0100-00004B000000}">
      <text>
        <r>
          <rPr>
            <b/>
            <sz val="9"/>
            <color indexed="81"/>
            <rFont val="Tahoma"/>
            <family val="2"/>
          </rPr>
          <t>Include loan amount and any available redraw amount</t>
        </r>
        <r>
          <rPr>
            <sz val="9"/>
            <color indexed="81"/>
            <rFont val="Tahoma"/>
            <family val="2"/>
          </rPr>
          <t xml:space="preserve">
</t>
        </r>
      </text>
    </comment>
    <comment ref="E28" authorId="0" shapeId="0" xr:uid="{00000000-0006-0000-0100-00004C000000}">
      <text>
        <r>
          <rPr>
            <b/>
            <sz val="9"/>
            <color indexed="81"/>
            <rFont val="Tahoma"/>
            <family val="2"/>
          </rPr>
          <t xml:space="preserve">Enter interest rate
</t>
        </r>
        <r>
          <rPr>
            <sz val="9"/>
            <color indexed="81"/>
            <rFont val="Tahoma"/>
            <family val="2"/>
          </rPr>
          <t xml:space="preserve">
</t>
        </r>
      </text>
    </comment>
    <comment ref="D29" authorId="0" shapeId="0" xr:uid="{00000000-0006-0000-0100-00004D000000}">
      <text>
        <r>
          <rPr>
            <b/>
            <sz val="9"/>
            <color indexed="81"/>
            <rFont val="Tahoma"/>
            <family val="2"/>
          </rPr>
          <t xml:space="preserve">Enter frequency 
(eg. W/F/B/M/A)
</t>
        </r>
        <r>
          <rPr>
            <sz val="9"/>
            <color indexed="81"/>
            <rFont val="Tahoma"/>
            <family val="2"/>
          </rPr>
          <t xml:space="preserve">
</t>
        </r>
      </text>
    </comment>
    <comment ref="E29" authorId="0" shapeId="0" xr:uid="{00000000-0006-0000-0100-00004E000000}">
      <text>
        <r>
          <rPr>
            <b/>
            <sz val="9"/>
            <color indexed="81"/>
            <rFont val="Tahoma"/>
            <family val="2"/>
          </rPr>
          <t>Enter 
repayment amount</t>
        </r>
        <r>
          <rPr>
            <sz val="9"/>
            <color indexed="81"/>
            <rFont val="Tahoma"/>
            <family val="2"/>
          </rPr>
          <t xml:space="preserve">
</t>
        </r>
      </text>
    </comment>
    <comment ref="D30" authorId="0" shapeId="0" xr:uid="{00000000-0006-0000-0100-00004F000000}">
      <text>
        <r>
          <rPr>
            <b/>
            <sz val="9"/>
            <color indexed="81"/>
            <rFont val="Tahoma"/>
            <family val="2"/>
          </rPr>
          <t xml:space="preserve">Enter frequency 
(eg. W/F/B/M/A)
</t>
        </r>
        <r>
          <rPr>
            <sz val="9"/>
            <color indexed="81"/>
            <rFont val="Tahoma"/>
            <family val="2"/>
          </rPr>
          <t xml:space="preserve">
</t>
        </r>
      </text>
    </comment>
    <comment ref="E30" authorId="0" shapeId="0" xr:uid="{00000000-0006-0000-0100-000050000000}">
      <text>
        <r>
          <rPr>
            <b/>
            <sz val="9"/>
            <color indexed="81"/>
            <rFont val="Tahoma"/>
            <family val="2"/>
          </rPr>
          <t>Enter 
repayment amount</t>
        </r>
        <r>
          <rPr>
            <sz val="9"/>
            <color indexed="81"/>
            <rFont val="Tahoma"/>
            <family val="2"/>
          </rPr>
          <t xml:space="preserve">
</t>
        </r>
      </text>
    </comment>
    <comment ref="D31" authorId="0" shapeId="0" xr:uid="{00000000-0006-0000-0100-000051000000}">
      <text>
        <r>
          <rPr>
            <b/>
            <sz val="9"/>
            <color indexed="81"/>
            <rFont val="Tahoma"/>
            <family val="2"/>
          </rPr>
          <t xml:space="preserve">Enter frequency 
(eg. W/F/B/M/A)
</t>
        </r>
        <r>
          <rPr>
            <sz val="9"/>
            <color indexed="81"/>
            <rFont val="Tahoma"/>
            <family val="2"/>
          </rPr>
          <t xml:space="preserve">
</t>
        </r>
      </text>
    </comment>
    <comment ref="E31" authorId="0" shapeId="0" xr:uid="{00000000-0006-0000-0100-000052000000}">
      <text>
        <r>
          <rPr>
            <b/>
            <sz val="9"/>
            <color indexed="81"/>
            <rFont val="Tahoma"/>
            <family val="2"/>
          </rPr>
          <t>Enter 
repayment amount</t>
        </r>
        <r>
          <rPr>
            <sz val="9"/>
            <color indexed="81"/>
            <rFont val="Tahoma"/>
            <family val="2"/>
          </rPr>
          <t xml:space="preserve">
</t>
        </r>
      </text>
    </comment>
    <comment ref="D32" authorId="0" shapeId="0" xr:uid="{00000000-0006-0000-0100-000053000000}">
      <text>
        <r>
          <rPr>
            <b/>
            <sz val="9"/>
            <color indexed="81"/>
            <rFont val="Tahoma"/>
            <family val="2"/>
          </rPr>
          <t xml:space="preserve">Enter frequency 
(eg. W/F/B/M/A)
</t>
        </r>
        <r>
          <rPr>
            <sz val="9"/>
            <color indexed="81"/>
            <rFont val="Tahoma"/>
            <family val="2"/>
          </rPr>
          <t xml:space="preserve">
</t>
        </r>
      </text>
    </comment>
    <comment ref="E32" authorId="0" shapeId="0" xr:uid="{00000000-0006-0000-0100-000054000000}">
      <text>
        <r>
          <rPr>
            <b/>
            <sz val="9"/>
            <color indexed="81"/>
            <rFont val="Tahoma"/>
            <family val="2"/>
          </rPr>
          <t xml:space="preserve">Enter 
rent or board
</t>
        </r>
      </text>
    </comment>
    <comment ref="D33" authorId="0" shapeId="0" xr:uid="{00000000-0006-0000-0100-000055000000}">
      <text>
        <r>
          <rPr>
            <b/>
            <sz val="9"/>
            <color indexed="81"/>
            <rFont val="Tahoma"/>
            <family val="2"/>
          </rPr>
          <t xml:space="preserve">Enter frequency 
(eg. W/F/B/M/A)
</t>
        </r>
        <r>
          <rPr>
            <sz val="9"/>
            <color indexed="81"/>
            <rFont val="Tahoma"/>
            <family val="2"/>
          </rPr>
          <t xml:space="preserve">
</t>
        </r>
      </text>
    </comment>
    <comment ref="E33" authorId="0" shapeId="0" xr:uid="{00000000-0006-0000-0100-000056000000}">
      <text>
        <r>
          <rPr>
            <b/>
            <sz val="9"/>
            <color indexed="81"/>
            <rFont val="Tahoma"/>
            <family val="2"/>
          </rPr>
          <t>Enter 
repayment amount</t>
        </r>
        <r>
          <rPr>
            <sz val="9"/>
            <color indexed="81"/>
            <rFont val="Tahoma"/>
            <family val="2"/>
          </rPr>
          <t xml:space="preserve">
</t>
        </r>
      </text>
    </comment>
    <comment ref="D34" authorId="0" shapeId="0" xr:uid="{00000000-0006-0000-0100-000057000000}">
      <text>
        <r>
          <rPr>
            <b/>
            <sz val="9"/>
            <color indexed="81"/>
            <rFont val="Tahoma"/>
            <family val="2"/>
          </rPr>
          <t xml:space="preserve">Enter frequency 
(eg. W/F/B/M/A)
</t>
        </r>
        <r>
          <rPr>
            <sz val="9"/>
            <color indexed="81"/>
            <rFont val="Tahoma"/>
            <family val="2"/>
          </rPr>
          <t xml:space="preserve">
</t>
        </r>
      </text>
    </comment>
    <comment ref="E34" authorId="0" shapeId="0" xr:uid="{00000000-0006-0000-0100-000058000000}">
      <text>
        <r>
          <rPr>
            <b/>
            <sz val="9"/>
            <color indexed="81"/>
            <rFont val="Tahoma"/>
            <family val="2"/>
          </rPr>
          <t>Enter 
repayment amount</t>
        </r>
        <r>
          <rPr>
            <sz val="9"/>
            <color indexed="81"/>
            <rFont val="Tahoma"/>
            <family val="2"/>
          </rPr>
          <t xml:space="preserve">
</t>
        </r>
      </text>
    </comment>
    <comment ref="E35" authorId="0" shapeId="0" xr:uid="{00000000-0006-0000-0100-000059000000}">
      <text>
        <r>
          <rPr>
            <b/>
            <sz val="9"/>
            <color indexed="81"/>
            <rFont val="Tahoma"/>
            <family val="2"/>
          </rPr>
          <t>Enter credit limit</t>
        </r>
        <r>
          <rPr>
            <sz val="9"/>
            <color indexed="81"/>
            <rFont val="Tahoma"/>
            <family val="2"/>
          </rPr>
          <t xml:space="preserve">
</t>
        </r>
      </text>
    </comment>
    <comment ref="E36" authorId="0" shapeId="0" xr:uid="{00000000-0006-0000-0100-00005A000000}">
      <text>
        <r>
          <rPr>
            <b/>
            <sz val="9"/>
            <color indexed="81"/>
            <rFont val="Tahoma"/>
            <family val="2"/>
          </rPr>
          <t>Enter credit limit</t>
        </r>
        <r>
          <rPr>
            <sz val="9"/>
            <color indexed="81"/>
            <rFont val="Tahoma"/>
            <family val="2"/>
          </rPr>
          <t xml:space="preserve">
</t>
        </r>
      </text>
    </comment>
    <comment ref="E37" authorId="0" shapeId="0" xr:uid="{00000000-0006-0000-0100-00005B000000}">
      <text>
        <r>
          <rPr>
            <b/>
            <sz val="9"/>
            <color indexed="81"/>
            <rFont val="Tahoma"/>
            <family val="2"/>
          </rPr>
          <t>Enter credit limit</t>
        </r>
        <r>
          <rPr>
            <sz val="9"/>
            <color indexed="81"/>
            <rFont val="Tahoma"/>
            <family val="2"/>
          </rPr>
          <t xml:space="preserve">
</t>
        </r>
      </text>
    </comment>
    <comment ref="E38" authorId="0" shapeId="0" xr:uid="{00000000-0006-0000-0100-00005C000000}">
      <text>
        <r>
          <rPr>
            <b/>
            <sz val="9"/>
            <color indexed="81"/>
            <rFont val="Tahoma"/>
            <family val="2"/>
          </rPr>
          <t>Enter credit limit</t>
        </r>
        <r>
          <rPr>
            <sz val="9"/>
            <color indexed="81"/>
            <rFont val="Tahoma"/>
            <family val="2"/>
          </rPr>
          <t xml:space="preserve">
</t>
        </r>
      </text>
    </comment>
    <comment ref="E39" authorId="0" shapeId="0" xr:uid="{00000000-0006-0000-0100-00005D000000}">
      <text>
        <r>
          <rPr>
            <b/>
            <sz val="9"/>
            <color indexed="81"/>
            <rFont val="Tahoma"/>
            <family val="2"/>
          </rPr>
          <t>Enter credit limit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tpontifex</author>
    <author>jhowell</author>
  </authors>
  <commentList>
    <comment ref="A5" authorId="0" shapeId="0" xr:uid="{9697DECB-64A2-4FE7-876A-42F492063FE4}">
      <text>
        <r>
          <rPr>
            <b/>
            <sz val="10"/>
            <color indexed="81"/>
            <rFont val="Calibri"/>
            <family val="2"/>
            <scheme val="minor"/>
          </rPr>
          <t>Include:</t>
        </r>
        <r>
          <rPr>
            <sz val="9"/>
            <color indexed="81"/>
            <rFont val="Calibri"/>
            <family val="2"/>
            <scheme val="minor"/>
          </rPr>
          <t xml:space="preserve">
* Supermarket
* Butchery
* Baker
* Deli</t>
        </r>
      </text>
    </comment>
    <comment ref="A7" authorId="0" shapeId="0" xr:uid="{7A7FB308-A46A-4DFB-9011-7E36457F7686}">
      <text>
        <r>
          <rPr>
            <b/>
            <sz val="10"/>
            <color indexed="81"/>
            <rFont val="Calibri"/>
            <family val="2"/>
            <scheme val="minor"/>
          </rPr>
          <t>Include:</t>
        </r>
        <r>
          <rPr>
            <sz val="9"/>
            <color indexed="81"/>
            <rFont val="Calibri"/>
            <family val="2"/>
            <scheme val="minor"/>
          </rPr>
          <t xml:space="preserve">
* Clothing
* Shoes
* Cosmetics 
* Toiletries
* Hair and Beauty</t>
        </r>
      </text>
    </comment>
    <comment ref="A9" authorId="0" shapeId="0" xr:uid="{D51116FA-B7E6-462D-8883-43C0EBC51AE3}">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xml:space="preserve">* Eating out 
* Takeaway
* Sports and Cultural Events
* Shows
* Liquor
* Gambling
</t>
        </r>
      </text>
    </comment>
    <comment ref="A11" authorId="0" shapeId="0" xr:uid="{957382F5-F77A-42B1-9210-0C4409D37FEA}">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Home Phone
* Internet 
* Mobile Phone
* Cable TV
* Streaming TV
* Streaming Music and Audio</t>
        </r>
        <r>
          <rPr>
            <sz val="9"/>
            <color indexed="81"/>
            <rFont val="Tahoma"/>
            <family val="2"/>
          </rPr>
          <t xml:space="preserve">
</t>
        </r>
      </text>
    </comment>
    <comment ref="A13" authorId="0" shapeId="0" xr:uid="{149CEB97-180C-448F-AF74-9CCA950A71E8}">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Petrol
* Tolls
* Parking 
* Rego
* Maintenance 
* Roadside Assistance
* Public Transport
* Taxi and Ridesharing</t>
        </r>
      </text>
    </comment>
    <comment ref="A15" authorId="1" shapeId="0" xr:uid="{FF68719E-F767-4A73-A298-FDF06D84DFD6}">
      <text>
        <r>
          <rPr>
            <b/>
            <sz val="9"/>
            <color indexed="81"/>
            <rFont val="Calibri"/>
            <family val="2"/>
            <scheme val="minor"/>
          </rPr>
          <t>Include:</t>
        </r>
        <r>
          <rPr>
            <sz val="9"/>
            <color indexed="81"/>
            <rFont val="Calibri"/>
            <family val="2"/>
            <scheme val="minor"/>
          </rPr>
          <t xml:space="preserve">
* Utlities
* Rates
* Body Corporate/Strata Fees</t>
        </r>
      </text>
    </comment>
    <comment ref="A17" authorId="1" shapeId="0" xr:uid="{EE76F640-8169-4893-895E-06C7A2C40334}">
      <text>
        <r>
          <rPr>
            <b/>
            <sz val="9"/>
            <color indexed="81"/>
            <rFont val="Calibri"/>
            <family val="2"/>
            <scheme val="minor"/>
          </rPr>
          <t xml:space="preserve">Include:
</t>
        </r>
        <r>
          <rPr>
            <sz val="9"/>
            <color indexed="81"/>
            <rFont val="Calibri"/>
            <family val="2"/>
            <scheme val="minor"/>
          </rPr>
          <t>* Agent fees
* Rates
* Body Corporate
* Landlord Insurance</t>
        </r>
      </text>
    </comment>
    <comment ref="A19" authorId="1" shapeId="0" xr:uid="{2C614BB4-B4BF-4C7F-9112-5BB343A895BC}">
      <text>
        <r>
          <rPr>
            <b/>
            <sz val="9"/>
            <color indexed="81"/>
            <rFont val="Calibri"/>
            <family val="2"/>
            <scheme val="minor"/>
          </rPr>
          <t>Include:</t>
        </r>
        <r>
          <rPr>
            <sz val="9"/>
            <color indexed="81"/>
            <rFont val="Calibri"/>
            <family val="2"/>
            <scheme val="minor"/>
          </rPr>
          <t xml:space="preserve">
* Doctor
* Physio/Chiro
* Optical
* Dental
* Medication</t>
        </r>
        <r>
          <rPr>
            <sz val="9"/>
            <color indexed="81"/>
            <rFont val="Tahoma"/>
            <family val="2"/>
          </rPr>
          <t xml:space="preserve">
</t>
        </r>
      </text>
    </comment>
    <comment ref="A21" authorId="1" shapeId="0" xr:uid="{B581D845-8100-440B-A642-23D25FDBFCFD}">
      <text>
        <r>
          <rPr>
            <b/>
            <sz val="9"/>
            <color indexed="81"/>
            <rFont val="Calibri"/>
            <family val="2"/>
            <scheme val="minor"/>
          </rPr>
          <t xml:space="preserve">Include:
</t>
        </r>
        <r>
          <rPr>
            <sz val="9"/>
            <color indexed="81"/>
            <rFont val="Calibri"/>
            <family val="2"/>
            <scheme val="minor"/>
          </rPr>
          <t>* Private Health Insurance</t>
        </r>
      </text>
    </comment>
    <comment ref="A23" authorId="1" shapeId="0" xr:uid="{D553433C-D11C-4117-9B30-9E2BE2E315A9}">
      <text>
        <r>
          <rPr>
            <b/>
            <sz val="9"/>
            <color indexed="81"/>
            <rFont val="Calibri"/>
            <family val="2"/>
            <scheme val="minor"/>
          </rPr>
          <t>Include:</t>
        </r>
        <r>
          <rPr>
            <sz val="9"/>
            <color indexed="81"/>
            <rFont val="Calibri"/>
            <family val="2"/>
            <scheme val="minor"/>
          </rPr>
          <t xml:space="preserve">
* Home and Contents
* Car
* Travel
* Life
* Income Protection</t>
        </r>
        <r>
          <rPr>
            <sz val="9"/>
            <color indexed="81"/>
            <rFont val="Tahoma"/>
            <family val="2"/>
          </rPr>
          <t xml:space="preserve">
</t>
        </r>
      </text>
    </comment>
    <comment ref="A25" authorId="1" shapeId="0" xr:uid="{4AAD8878-8E8D-4EA8-818D-C588F70AF35C}">
      <text>
        <r>
          <rPr>
            <b/>
            <sz val="9"/>
            <color indexed="81"/>
            <rFont val="Calibri"/>
            <family val="2"/>
            <scheme val="minor"/>
          </rPr>
          <t>Include:</t>
        </r>
        <r>
          <rPr>
            <sz val="9"/>
            <color indexed="81"/>
            <rFont val="Calibri"/>
            <family val="2"/>
            <scheme val="minor"/>
          </rPr>
          <t xml:space="preserve">
* School Fees
* Extra-Curricular Activities
* Books &amp; Stationary
* TAFE Fees
</t>
        </r>
      </text>
    </comment>
    <comment ref="A27" authorId="1" shapeId="0" xr:uid="{62949DD7-5A6E-4A80-B4B0-E41ADB1D8151}">
      <text>
        <r>
          <rPr>
            <b/>
            <sz val="9"/>
            <color indexed="81"/>
            <rFont val="Calibri"/>
            <family val="2"/>
            <scheme val="minor"/>
          </rPr>
          <t>Include:</t>
        </r>
        <r>
          <rPr>
            <sz val="9"/>
            <color indexed="81"/>
            <rFont val="Calibri"/>
            <family val="2"/>
            <scheme val="minor"/>
          </rPr>
          <t xml:space="preserve">
* Daycare
* Before/After School Care
* Nannies
* Baby Sitting</t>
        </r>
        <r>
          <rPr>
            <sz val="9"/>
            <color indexed="81"/>
            <rFont val="Tahoma"/>
            <family val="2"/>
          </rPr>
          <t xml:space="preserve">
</t>
        </r>
      </text>
    </comment>
    <comment ref="A29" authorId="1" shapeId="0" xr:uid="{C3461297-FFA0-4B03-A3D5-B859491E4250}">
      <text>
        <r>
          <rPr>
            <b/>
            <sz val="9"/>
            <color indexed="81"/>
            <rFont val="Calibri"/>
            <family val="2"/>
            <scheme val="minor"/>
          </rPr>
          <t>Include:</t>
        </r>
        <r>
          <rPr>
            <sz val="9"/>
            <color indexed="81"/>
            <rFont val="Calibri"/>
            <family val="2"/>
            <scheme val="minor"/>
          </rPr>
          <t xml:space="preserve">
* Pets
* Holidays
* Gifts
* Other Discretionary Spending</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8D6890-49F7-4014-BD61-031C5F7304E5}"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<sst xmlns="http://schemas.openxmlformats.org/spreadsheetml/2006/main" count="4172" uniqueCount="1664">
  <si>
    <t>MOVE Bank Loan Worksheet</t>
  </si>
  <si>
    <t>Applicant 1</t>
  </si>
  <si>
    <t>Age</t>
  </si>
  <si>
    <t>Applicant 2</t>
  </si>
  <si>
    <t>Taxable Income</t>
  </si>
  <si>
    <t>Non Taxed Income</t>
  </si>
  <si>
    <t>App</t>
  </si>
  <si>
    <t>Salary</t>
  </si>
  <si>
    <t>Gross</t>
  </si>
  <si>
    <t>Disc</t>
  </si>
  <si>
    <t>Wages YTD</t>
  </si>
  <si>
    <t>App 1</t>
  </si>
  <si>
    <t>App 2</t>
  </si>
  <si>
    <t>Income</t>
  </si>
  <si>
    <t>Discount</t>
  </si>
  <si>
    <t>Employer</t>
  </si>
  <si>
    <t>Period</t>
  </si>
  <si>
    <t>Overtime/penalties</t>
  </si>
  <si>
    <t>Total</t>
  </si>
  <si>
    <t>Second Job</t>
  </si>
  <si>
    <t>Rental Income</t>
  </si>
  <si>
    <t>Check</t>
  </si>
  <si>
    <t>Commission</t>
  </si>
  <si>
    <t>Property</t>
  </si>
  <si>
    <t>Rent $</t>
  </si>
  <si>
    <t>Suburb</t>
  </si>
  <si>
    <t>Allowances</t>
  </si>
  <si>
    <t>Property 1</t>
  </si>
  <si>
    <t>Date</t>
  </si>
  <si>
    <t>Bonus</t>
  </si>
  <si>
    <t>Property 2</t>
  </si>
  <si>
    <t>Pay Period Ending</t>
  </si>
  <si>
    <t>Gross per month</t>
  </si>
  <si>
    <t>Prior Year End</t>
  </si>
  <si>
    <t>Living Expenses &amp; LMI</t>
  </si>
  <si>
    <t>Pay Periods</t>
  </si>
  <si>
    <t>No. Adults</t>
  </si>
  <si>
    <t>Per Month</t>
  </si>
  <si>
    <t>No. Children</t>
  </si>
  <si>
    <t>HEM</t>
  </si>
  <si>
    <t>Health Ins</t>
  </si>
  <si>
    <t>Declared</t>
  </si>
  <si>
    <t>LMI</t>
  </si>
  <si>
    <t>Assessed</t>
  </si>
  <si>
    <t>Location</t>
  </si>
  <si>
    <t>Commitment Details</t>
  </si>
  <si>
    <t>Lender</t>
  </si>
  <si>
    <t>Loan Amount or Balance (inc Redraw)</t>
  </si>
  <si>
    <t>Loan Type or
Repay Type</t>
  </si>
  <si>
    <t>Rate/Limit or Repay</t>
  </si>
  <si>
    <t>Lender/Agent</t>
  </si>
  <si>
    <r>
      <t xml:space="preserve">Term
</t>
    </r>
    <r>
      <rPr>
        <sz val="9"/>
        <rFont val="helv"/>
      </rPr>
      <t>(in months)</t>
    </r>
  </si>
  <si>
    <t>IO
Split
PO</t>
  </si>
  <si>
    <t>Repay 
pm</t>
  </si>
  <si>
    <t>LVR</t>
  </si>
  <si>
    <t>Security Value</t>
  </si>
  <si>
    <t>Add'l Buffer</t>
  </si>
  <si>
    <t>Notes</t>
  </si>
  <si>
    <t>Buffer</t>
  </si>
  <si>
    <t>Repay pm</t>
  </si>
  <si>
    <t>Proposed Loan</t>
  </si>
  <si>
    <t>MOVE</t>
  </si>
  <si>
    <t>Home Loan</t>
  </si>
  <si>
    <t>Investment Loan</t>
  </si>
  <si>
    <t>Car Loan/Lease</t>
  </si>
  <si>
    <t>Personal Loan</t>
  </si>
  <si>
    <t>Rent/Board</t>
  </si>
  <si>
    <t>Other (specify)</t>
  </si>
  <si>
    <t>Overdraft</t>
  </si>
  <si>
    <t>Credit Card</t>
  </si>
  <si>
    <t>Total Debt</t>
  </si>
  <si>
    <t>Total Exp MOVE Bank</t>
  </si>
  <si>
    <t>Total Repay pm</t>
  </si>
  <si>
    <t>Security</t>
  </si>
  <si>
    <t>Lower</t>
  </si>
  <si>
    <t>Upper</t>
  </si>
  <si>
    <t/>
  </si>
  <si>
    <t>Serviceability Information</t>
  </si>
  <si>
    <t>Medicare threshold</t>
  </si>
  <si>
    <t>Income from Above</t>
  </si>
  <si>
    <t>Total Gross Income PM</t>
  </si>
  <si>
    <t>Less Tax Payable</t>
  </si>
  <si>
    <t>After Tax Income PM</t>
  </si>
  <si>
    <t>Employment Status</t>
  </si>
  <si>
    <t>Confirmed Payslip</t>
  </si>
  <si>
    <t>No of pay slips</t>
  </si>
  <si>
    <t>Reference Check</t>
  </si>
  <si>
    <t>Period of Employment</t>
  </si>
  <si>
    <t>Paid to MOVE?</t>
  </si>
  <si>
    <t>Comments</t>
  </si>
  <si>
    <t>Total Tax</t>
  </si>
  <si>
    <t>Medicare</t>
  </si>
  <si>
    <t>Tax</t>
  </si>
  <si>
    <t>Medicare Surcharge</t>
  </si>
  <si>
    <t>$180K+</t>
  </si>
  <si>
    <t>$90k&lt;$180k</t>
  </si>
  <si>
    <t>$37k&lt;$90k</t>
  </si>
  <si>
    <t>$18.2k&lt;$37K</t>
  </si>
  <si>
    <t>&lt;$18200</t>
  </si>
  <si>
    <t>Member 1</t>
  </si>
  <si>
    <t>Member 2</t>
  </si>
  <si>
    <t>Other Income</t>
  </si>
  <si>
    <t>Tax Free Income</t>
  </si>
  <si>
    <t xml:space="preserve">Summary Data </t>
  </si>
  <si>
    <t>Capacity to Repay</t>
  </si>
  <si>
    <t>Extra Tax</t>
  </si>
  <si>
    <t>Assessed Income</t>
  </si>
  <si>
    <t>NSR &amp; Surplus</t>
  </si>
  <si>
    <t>APRA Reporting (ARS 223)</t>
  </si>
  <si>
    <t>Expenses (ex new)</t>
  </si>
  <si>
    <t>DSR</t>
  </si>
  <si>
    <t>NSR + Buffer</t>
  </si>
  <si>
    <t>Gross Annual Income</t>
  </si>
  <si>
    <t>Credit Limits</t>
  </si>
  <si>
    <t>Net Income</t>
  </si>
  <si>
    <t>ARA</t>
  </si>
  <si>
    <t>DLA Required</t>
  </si>
  <si>
    <t>Capacity</t>
  </si>
  <si>
    <t>Gross Debt</t>
  </si>
  <si>
    <t>Debt to income</t>
  </si>
  <si>
    <t>Liabilities</t>
  </si>
  <si>
    <t>Security Details &amp; Credit Report</t>
  </si>
  <si>
    <t>Submission</t>
  </si>
  <si>
    <t>Description</t>
  </si>
  <si>
    <t>CAT</t>
  </si>
  <si>
    <t>Valuation</t>
  </si>
  <si>
    <t>Confirmed</t>
  </si>
  <si>
    <t>Name:</t>
  </si>
  <si>
    <t>Date:</t>
  </si>
  <si>
    <t>Decision</t>
  </si>
  <si>
    <t>Credit Report</t>
  </si>
  <si>
    <t>No. Enq</t>
  </si>
  <si>
    <t>General Comments</t>
  </si>
  <si>
    <t>Loan Purpose</t>
  </si>
  <si>
    <t>Assessment Notes/
Approval Conditions</t>
  </si>
  <si>
    <t>Policy Waiver</t>
  </si>
  <si>
    <t>Policy No.</t>
  </si>
  <si>
    <t>Details:</t>
  </si>
  <si>
    <t>Event No:</t>
  </si>
  <si>
    <t>Approved by:</t>
  </si>
  <si>
    <t>Broker Notes</t>
  </si>
  <si>
    <t>Tables</t>
  </si>
  <si>
    <t>Lending Officer</t>
  </si>
  <si>
    <t>Submitted by</t>
  </si>
  <si>
    <t>LA</t>
  </si>
  <si>
    <t>Loan Assessor</t>
  </si>
  <si>
    <t>SLA</t>
  </si>
  <si>
    <t>Senior Loan Assessor</t>
  </si>
  <si>
    <t>BOARD</t>
  </si>
  <si>
    <t>Delegations</t>
  </si>
  <si>
    <t>Term</t>
  </si>
  <si>
    <t>HL S/Fwd Plus</t>
  </si>
  <si>
    <t>L52</t>
  </si>
  <si>
    <t>HL Std Var</t>
  </si>
  <si>
    <t>L20</t>
  </si>
  <si>
    <t>HL Package</t>
  </si>
  <si>
    <t>L21</t>
  </si>
  <si>
    <t>HL Fixed Pack 1Y</t>
  </si>
  <si>
    <t>L45_1</t>
  </si>
  <si>
    <t>HL Fixed Pack 2Y</t>
  </si>
  <si>
    <t>L45_2</t>
  </si>
  <si>
    <t>HL Fixed Pack 3Y</t>
  </si>
  <si>
    <t>L45_3</t>
  </si>
  <si>
    <t>HL Fixed Pack 5Y</t>
  </si>
  <si>
    <t>L45_5</t>
  </si>
  <si>
    <t>Inv S/Fwd Plus</t>
  </si>
  <si>
    <t>L18</t>
  </si>
  <si>
    <t>Inv S/Fwd Plus IO</t>
  </si>
  <si>
    <t>L18_IO</t>
  </si>
  <si>
    <t>Inv Std Var</t>
  </si>
  <si>
    <t>L15</t>
  </si>
  <si>
    <t>Inv Std Var IO</t>
  </si>
  <si>
    <t>L15_IO</t>
  </si>
  <si>
    <t>Inv Package</t>
  </si>
  <si>
    <t>L16</t>
  </si>
  <si>
    <t>Inv Package IO</t>
  </si>
  <si>
    <t>L16_IO</t>
  </si>
  <si>
    <t>INV Fixed Pack 1Y</t>
  </si>
  <si>
    <t>L46_1</t>
  </si>
  <si>
    <t>INV Fix Pack 1Y IO</t>
  </si>
  <si>
    <t>L46_1IO</t>
  </si>
  <si>
    <t>INV Fixed Pack 2Y</t>
  </si>
  <si>
    <t>L46_2</t>
  </si>
  <si>
    <t>INV Fix Pack 2Y IO</t>
  </si>
  <si>
    <t>L46_2IO</t>
  </si>
  <si>
    <t>INV Fixed Pack 3Y</t>
  </si>
  <si>
    <t>L46_3</t>
  </si>
  <si>
    <t>INV Fix Pack 3Y IO</t>
  </si>
  <si>
    <t>L46_3IO</t>
  </si>
  <si>
    <t>INV Fixed Pack 5Y</t>
  </si>
  <si>
    <t>L46_5</t>
  </si>
  <si>
    <t>INV Fix Pack 5Y IO</t>
  </si>
  <si>
    <t>L46_5IO</t>
  </si>
  <si>
    <t>Maximum</t>
  </si>
  <si>
    <t>DLA</t>
  </si>
  <si>
    <t>Mortgage Loans</t>
  </si>
  <si>
    <t>No LMI</t>
  </si>
  <si>
    <t>Intro</t>
  </si>
  <si>
    <t>Floor</t>
  </si>
  <si>
    <t>Base</t>
  </si>
  <si>
    <t>8</t>
  </si>
  <si>
    <t>Loan Types</t>
  </si>
  <si>
    <t>Rate</t>
  </si>
  <si>
    <t>Interest Type</t>
  </si>
  <si>
    <t>P&amp;I</t>
  </si>
  <si>
    <t>Fixed</t>
  </si>
  <si>
    <t>IO</t>
  </si>
  <si>
    <t>Frequency</t>
  </si>
  <si>
    <t>Living Expenses</t>
  </si>
  <si>
    <t>Annual</t>
  </si>
  <si>
    <t>A</t>
  </si>
  <si>
    <t>Month</t>
  </si>
  <si>
    <t>M</t>
  </si>
  <si>
    <t>Half Yearly</t>
  </si>
  <si>
    <t>H</t>
  </si>
  <si>
    <t>BiMonthly</t>
  </si>
  <si>
    <t>B</t>
  </si>
  <si>
    <t>Quarterly</t>
  </si>
  <si>
    <t>Q</t>
  </si>
  <si>
    <t>Fortnight</t>
  </si>
  <si>
    <t>F</t>
  </si>
  <si>
    <t>Week</t>
  </si>
  <si>
    <t>W</t>
  </si>
  <si>
    <t>N/A</t>
  </si>
  <si>
    <t>Living Allowance</t>
  </si>
  <si>
    <t>Region</t>
  </si>
  <si>
    <t>Family</t>
  </si>
  <si>
    <t>HEM Result</t>
  </si>
  <si>
    <t>Situation</t>
  </si>
  <si>
    <t>Income threshold</t>
  </si>
  <si>
    <t>Brisbane</t>
  </si>
  <si>
    <t>Sydney</t>
  </si>
  <si>
    <t>Melbourne</t>
  </si>
  <si>
    <t>Adelaide</t>
  </si>
  <si>
    <t>Perth</t>
  </si>
  <si>
    <t>Hobart</t>
  </si>
  <si>
    <t>ACT &amp; NT</t>
  </si>
  <si>
    <t>Balance of QLD</t>
  </si>
  <si>
    <t>Balance of NSW</t>
  </si>
  <si>
    <t>Balance of VIC</t>
  </si>
  <si>
    <t>Balance of SA</t>
  </si>
  <si>
    <t>Balance of TAS</t>
  </si>
  <si>
    <t>Balance of WA</t>
  </si>
  <si>
    <t>Australia</t>
  </si>
  <si>
    <t>Tax scales</t>
  </si>
  <si>
    <t>Levy</t>
  </si>
  <si>
    <t>Low income earner</t>
  </si>
  <si>
    <t>Medicare Levy Surcharge</t>
  </si>
  <si>
    <t>Extra child</t>
  </si>
  <si>
    <t>Family situation</t>
  </si>
  <si>
    <t>Single</t>
  </si>
  <si>
    <t>Car Allowance</t>
  </si>
  <si>
    <t>Salary Packaging</t>
  </si>
  <si>
    <t>Family Benefit</t>
  </si>
  <si>
    <t>Pension (ex Age/Unemp)</t>
  </si>
  <si>
    <t>Child Support</t>
  </si>
  <si>
    <t>Discounts</t>
  </si>
  <si>
    <t>Current year</t>
  </si>
  <si>
    <t>2 yr average</t>
  </si>
  <si>
    <t>Other</t>
  </si>
  <si>
    <t>Condition of employment</t>
  </si>
  <si>
    <t>Payout/Split</t>
  </si>
  <si>
    <t>Y</t>
  </si>
  <si>
    <t>Exc</t>
  </si>
  <si>
    <t>Minimum Board/Rent</t>
  </si>
  <si>
    <t>Commitments</t>
  </si>
  <si>
    <t>HELP</t>
  </si>
  <si>
    <t>Interest Free</t>
  </si>
  <si>
    <t>Super salary sacrifice</t>
  </si>
  <si>
    <t>Guarantee</t>
  </si>
  <si>
    <t>Yes</t>
  </si>
  <si>
    <t>No</t>
  </si>
  <si>
    <t>Reference</t>
  </si>
  <si>
    <t>Done</t>
  </si>
  <si>
    <t>Pending</t>
  </si>
  <si>
    <t>Direct Credit</t>
  </si>
  <si>
    <t>Emp Status</t>
  </si>
  <si>
    <t>Full Time</t>
  </si>
  <si>
    <t>Perm P/T</t>
  </si>
  <si>
    <t>Casual</t>
  </si>
  <si>
    <t>Contract</t>
  </si>
  <si>
    <t>Probation</t>
  </si>
  <si>
    <t>Self Employed</t>
  </si>
  <si>
    <t>Investor</t>
  </si>
  <si>
    <t>Credit File</t>
  </si>
  <si>
    <t>No of Enq</t>
  </si>
  <si>
    <t>Clear report</t>
  </si>
  <si>
    <t>Default</t>
  </si>
  <si>
    <t>Paid Default</t>
  </si>
  <si>
    <t>Court Judgment</t>
  </si>
  <si>
    <t>Bankrupt</t>
  </si>
  <si>
    <t>New credit file</t>
  </si>
  <si>
    <t>High credit seeker</t>
  </si>
  <si>
    <t>Rate discount applied</t>
  </si>
  <si>
    <t>No pay slips</t>
  </si>
  <si>
    <r>
      <t xml:space="preserve">HELP
</t>
    </r>
    <r>
      <rPr>
        <sz val="6"/>
        <rFont val="helv"/>
      </rPr>
      <t>(If applicable)</t>
    </r>
  </si>
  <si>
    <t>$80k&lt;$180k</t>
  </si>
  <si>
    <t>$37k&lt;$80k</t>
  </si>
  <si>
    <t>$6k&lt;$37K</t>
  </si>
  <si>
    <t>&lt;$6000</t>
  </si>
  <si>
    <t>Loan Origination - Summary Data Check</t>
  </si>
  <si>
    <t>Loan amount</t>
  </si>
  <si>
    <t>NSR</t>
  </si>
  <si>
    <t>Total Loan</t>
  </si>
  <si>
    <t>DebttoIncome</t>
  </si>
  <si>
    <t>DLA - $3m+</t>
  </si>
  <si>
    <t>Jon Jackson</t>
  </si>
  <si>
    <t>Marcel Coopman</t>
  </si>
  <si>
    <t>Julie O'Regan</t>
  </si>
  <si>
    <t>Max Campbell</t>
  </si>
  <si>
    <t>Sascha Jovanoski</t>
  </si>
  <si>
    <t>CAL</t>
  </si>
  <si>
    <t>Credit Assessment Lead</t>
  </si>
  <si>
    <t>Without LMI</t>
  </si>
  <si>
    <t>Class</t>
  </si>
  <si>
    <t>PL - Unsec</t>
  </si>
  <si>
    <t>L11</t>
  </si>
  <si>
    <t>0%</t>
  </si>
  <si>
    <t>PL</t>
  </si>
  <si>
    <t>PL - Sec</t>
  </si>
  <si>
    <t>Varies</t>
  </si>
  <si>
    <t>Car AnyAge</t>
  </si>
  <si>
    <t>L12</t>
  </si>
  <si>
    <t>Car &lt;3yo</t>
  </si>
  <si>
    <t>L23</t>
  </si>
  <si>
    <t>Car &lt;3yo Green</t>
  </si>
  <si>
    <t>L24</t>
  </si>
  <si>
    <t>S7</t>
  </si>
  <si>
    <t>FlexiCredit</t>
  </si>
  <si>
    <t>S22</t>
  </si>
  <si>
    <t>HL</t>
  </si>
  <si>
    <t>HL Std Var IO</t>
  </si>
  <si>
    <t>L20_IO</t>
  </si>
  <si>
    <t>HL Package IO</t>
  </si>
  <si>
    <t>L21_IO</t>
  </si>
  <si>
    <t>HL Fix Pack 1Y IO</t>
  </si>
  <si>
    <t>L45_1 IO</t>
  </si>
  <si>
    <t>DLA - Non mortgage</t>
  </si>
  <si>
    <t>DLA - Mortgage</t>
  </si>
  <si>
    <t>DTI - Non mortgage</t>
  </si>
  <si>
    <t>DTI - Mortgage</t>
  </si>
  <si>
    <t>IO Premium</t>
  </si>
  <si>
    <t xml:space="preserve"> </t>
  </si>
  <si>
    <t>Min Assess Rate</t>
  </si>
  <si>
    <t>HL S/Fwd- Base</t>
  </si>
  <si>
    <t>L51-Base</t>
  </si>
  <si>
    <t>Inv S/Fwd - Base</t>
  </si>
  <si>
    <t>L17-Base</t>
  </si>
  <si>
    <t>Credit card rates</t>
  </si>
  <si>
    <t>Rent Discount</t>
  </si>
  <si>
    <t>Private School Fees</t>
  </si>
  <si>
    <t>NA QR/Aurizon</t>
  </si>
  <si>
    <t>Applicant</t>
  </si>
  <si>
    <t>Assessment</t>
  </si>
  <si>
    <t>Member Declared</t>
  </si>
  <si>
    <t>Assessed - Statement/Proviso Review</t>
  </si>
  <si>
    <t>Legend</t>
  </si>
  <si>
    <t>Groceries</t>
  </si>
  <si>
    <t>Amount</t>
  </si>
  <si>
    <t>Freq</t>
  </si>
  <si>
    <t>Monthly</t>
  </si>
  <si>
    <t>Clothing &amp; Personal Care</t>
  </si>
  <si>
    <t>Recreation &amp; Entertainment</t>
  </si>
  <si>
    <t>Bi Monthly</t>
  </si>
  <si>
    <t>Fortnightly</t>
  </si>
  <si>
    <t>Telephone, Internet, Pay TV and Streaming Services</t>
  </si>
  <si>
    <t>Weekly</t>
  </si>
  <si>
    <t>Transport</t>
  </si>
  <si>
    <t>Primary Residence Running Costs</t>
  </si>
  <si>
    <t>Investment Property Running Costs</t>
  </si>
  <si>
    <t>Medical and Health</t>
  </si>
  <si>
    <t>Health Insurance</t>
  </si>
  <si>
    <t>General Basic Insurances</t>
  </si>
  <si>
    <t>Childcare</t>
  </si>
  <si>
    <t>Other Living Expenses</t>
  </si>
  <si>
    <t>Total living expenses pm</t>
  </si>
  <si>
    <t>Assessor Notes</t>
  </si>
  <si>
    <t>Funds to complete</t>
  </si>
  <si>
    <t>Transaction type</t>
  </si>
  <si>
    <t>State</t>
  </si>
  <si>
    <t>Loan Type</t>
  </si>
  <si>
    <t>First Home Buyer Eligible</t>
  </si>
  <si>
    <t>Construction Loan</t>
  </si>
  <si>
    <t>Purchase Price</t>
  </si>
  <si>
    <t>Government Charges</t>
  </si>
  <si>
    <t>Mortgage Registration Fee (per transaction)</t>
  </si>
  <si>
    <t>Part of MOVE Loan</t>
  </si>
  <si>
    <t>Source</t>
  </si>
  <si>
    <t>https://movebank.com.au/quick-links/calculators/stamp-duty/</t>
  </si>
  <si>
    <t>Transfer Fee (purchase only)</t>
  </si>
  <si>
    <t>NB. Ensure that all data is input into calculator</t>
  </si>
  <si>
    <t>Stamp duty on property (purchase only)</t>
  </si>
  <si>
    <t>Paid directly by borrower</t>
  </si>
  <si>
    <t>Stamp duty does not apply to refinances so record as $0</t>
  </si>
  <si>
    <t>Capture quote obtain from website and save to Fees folder under Documents tab in LO</t>
  </si>
  <si>
    <r>
      <t>Solicitor/Conveyancing</t>
    </r>
    <r>
      <rPr>
        <sz val="10"/>
        <rFont val="Calibri"/>
        <family val="2"/>
        <scheme val="minor"/>
      </rPr>
      <t xml:space="preserve"> (estimate)</t>
    </r>
  </si>
  <si>
    <t>Fees Included in Loan</t>
  </si>
  <si>
    <t>MOVE Bank Fees</t>
  </si>
  <si>
    <t>Loan Establishment Fee</t>
  </si>
  <si>
    <t xml:space="preserve">Package Fee </t>
  </si>
  <si>
    <t>Construction Drawdown Fees</t>
  </si>
  <si>
    <t>Allowance for 3 drawdowns</t>
  </si>
  <si>
    <t>Fees paid to others</t>
  </si>
  <si>
    <t>Lenders Mortgage Insurance LMI</t>
  </si>
  <si>
    <t>Genworth Calculator or QBE</t>
  </si>
  <si>
    <t>Mortgage Registration Fee</t>
  </si>
  <si>
    <t>Transfer Fee</t>
  </si>
  <si>
    <t>Valuation Fee</t>
  </si>
  <si>
    <t>Progress Valuation Fees</t>
  </si>
  <si>
    <t>Total Fees Included in Home Loan</t>
  </si>
  <si>
    <t>Included in loan payable at funding</t>
  </si>
  <si>
    <t>Broker Fee</t>
  </si>
  <si>
    <t>If applicable</t>
  </si>
  <si>
    <t>Funds Required</t>
  </si>
  <si>
    <t>Funds to Complete</t>
  </si>
  <si>
    <t>Settlement Date</t>
  </si>
  <si>
    <t>Own funds</t>
  </si>
  <si>
    <t>Contract signed date</t>
  </si>
  <si>
    <t>Proceeds from sale of property/equity release</t>
  </si>
  <si>
    <t>First Home Owners Grant</t>
  </si>
  <si>
    <t>Days to exchange</t>
  </si>
  <si>
    <t>Gift (non-repayable)</t>
  </si>
  <si>
    <t>Days to settlement</t>
  </si>
  <si>
    <t>Loan funds (inclusive of fees added to loan)</t>
  </si>
  <si>
    <t>Finance due</t>
  </si>
  <si>
    <t>Surplus/(Shortfall)</t>
  </si>
  <si>
    <t>Settlement due</t>
  </si>
  <si>
    <t xml:space="preserve">Fees </t>
  </si>
  <si>
    <t>Select State</t>
  </si>
  <si>
    <t>Complete Package (Pro Rata)</t>
  </si>
  <si>
    <t xml:space="preserve">Mortgage Registration Fee's </t>
  </si>
  <si>
    <t>HELP Calculator</t>
  </si>
  <si>
    <t>QLD</t>
  </si>
  <si>
    <t>NSW</t>
  </si>
  <si>
    <t>Settlement Month</t>
  </si>
  <si>
    <t>Select Month</t>
  </si>
  <si>
    <t>Application 1</t>
  </si>
  <si>
    <t>VIC</t>
  </si>
  <si>
    <t>OFI Mortgage on Title</t>
  </si>
  <si>
    <t>Select Option</t>
  </si>
  <si>
    <t>Total salary per annum</t>
  </si>
  <si>
    <t>ACT</t>
  </si>
  <si>
    <t>NT</t>
  </si>
  <si>
    <t>Broker Commission</t>
  </si>
  <si>
    <t>Transfer Duty</t>
  </si>
  <si>
    <t>(If Refinance leave as $0)</t>
  </si>
  <si>
    <t>HELP tax rate</t>
  </si>
  <si>
    <t>SA</t>
  </si>
  <si>
    <t>WA</t>
  </si>
  <si>
    <t>Loan Amount (Incl Fees)</t>
  </si>
  <si>
    <t>Document Registration Field</t>
  </si>
  <si>
    <t>HELP commitment per month</t>
  </si>
  <si>
    <t>TAS</t>
  </si>
  <si>
    <t>Contract Reference</t>
  </si>
  <si>
    <t xml:space="preserve">Valuation and LMI Cost Calculation </t>
  </si>
  <si>
    <t>Registration Fee Scenario's</t>
  </si>
  <si>
    <t>Application 2</t>
  </si>
  <si>
    <t>Total Cost of Valuations/LMI</t>
  </si>
  <si>
    <t xml:space="preserve">Marital Seperation </t>
  </si>
  <si>
    <t>Treat as Purchase - x 3 Fee's Applicable</t>
  </si>
  <si>
    <t>July</t>
  </si>
  <si>
    <t>GST Portion</t>
  </si>
  <si>
    <t>Transfer of ownership</t>
  </si>
  <si>
    <t>August</t>
  </si>
  <si>
    <t>RITC Portion</t>
  </si>
  <si>
    <t>September</t>
  </si>
  <si>
    <t xml:space="preserve">Total Cost to Customer </t>
  </si>
  <si>
    <t xml:space="preserve">** LMI Calcualtion </t>
  </si>
  <si>
    <t>October</t>
  </si>
  <si>
    <t>End cost to Customer (less standard fee)</t>
  </si>
  <si>
    <t xml:space="preserve">** Valuation Calculation </t>
  </si>
  <si>
    <t>November</t>
  </si>
  <si>
    <t>December</t>
  </si>
  <si>
    <t>January</t>
  </si>
  <si>
    <t>LO References</t>
  </si>
  <si>
    <t>February</t>
  </si>
  <si>
    <t>March</t>
  </si>
  <si>
    <t>FEES</t>
  </si>
  <si>
    <t>Explanation</t>
  </si>
  <si>
    <t>April</t>
  </si>
  <si>
    <t>Valuation Fees</t>
  </si>
  <si>
    <t>to be added</t>
  </si>
  <si>
    <t>Add the valuer's name</t>
  </si>
  <si>
    <t>May</t>
  </si>
  <si>
    <t>Lender's Mortgage Insurance</t>
  </si>
  <si>
    <t>Add the Mortgage Insurer's Name</t>
  </si>
  <si>
    <t>June</t>
  </si>
  <si>
    <t>Establishment Fee</t>
  </si>
  <si>
    <t>MOVE Bank</t>
  </si>
  <si>
    <t>New Mortgage - $600 and Internal Refinance - $150</t>
  </si>
  <si>
    <t>Loan Switch Fees</t>
  </si>
  <si>
    <t>Mortgage Discharge Fees</t>
  </si>
  <si>
    <t>Charged by Move Bank to process the discharge</t>
  </si>
  <si>
    <t>Mortgage Discharge Fees- Payable to Others</t>
  </si>
  <si>
    <t>LEGALSTREAM PTY LTD</t>
  </si>
  <si>
    <t>Discharge fees charged by the State Title's Office</t>
  </si>
  <si>
    <t>Document Registration Fees</t>
  </si>
  <si>
    <t>Depends on the loan purpose and state</t>
  </si>
  <si>
    <t>Broker Upfront Commission</t>
  </si>
  <si>
    <t>Broker Name to be added</t>
  </si>
  <si>
    <t>This is applicable only for Broker Loans</t>
  </si>
  <si>
    <t>Fixed Rate Lock Fee- Disclosure</t>
  </si>
  <si>
    <t>Our fees</t>
  </si>
  <si>
    <t>QuickDebit Dishonour Fee</t>
  </si>
  <si>
    <t>Loan Redraw - Staff Assisted</t>
  </si>
  <si>
    <t>Annual Package  Fee</t>
  </si>
  <si>
    <t>Only for package products</t>
  </si>
  <si>
    <t>Establishment Fees- Other Securities</t>
  </si>
  <si>
    <t>This is to be added if there are more than one securities involved</t>
  </si>
  <si>
    <t>Package Product Fee- Pro-Rata</t>
  </si>
  <si>
    <t>Construction Progress Draw</t>
  </si>
  <si>
    <t>Only for construction loans- $50 each for first three progress payments are to be charged upfront</t>
  </si>
  <si>
    <t>Progress Valuation Fee</t>
  </si>
  <si>
    <t>Valuer's name</t>
  </si>
  <si>
    <t>This amount is twice the progress valuation amount to be charged by the valuer for Progress Inspection only. This is different to the full inspection done at assessment stage before approval. It is usually different depending on the location of the property. Confirm with the valuer if unsure at approval stage. This has to be the same valuer who carried out the full inspection.</t>
  </si>
  <si>
    <t>Progress Draw Fee - Additional</t>
  </si>
  <si>
    <t>Progress Valuation Fee- Additional</t>
  </si>
  <si>
    <t xml:space="preserve">This amount is the Progress valuation amount to be charged by the valuer if an additional inspection is required </t>
  </si>
  <si>
    <t>https://www.paycalculator.com.au/</t>
  </si>
  <si>
    <t xml:space="preserve">ARS 223 Reporting Data </t>
  </si>
  <si>
    <t xml:space="preserve">APRA Definitions </t>
  </si>
  <si>
    <t xml:space="preserve">Information Required </t>
  </si>
  <si>
    <t xml:space="preserve">MOVE Data </t>
  </si>
  <si>
    <t>Is this loan Broker Originated?</t>
  </si>
  <si>
    <t>Temporarily modified due to Financial Hardship?</t>
  </si>
  <si>
    <t xml:space="preserve">Externally refinanced? </t>
  </si>
  <si>
    <t>Non-Performing Customer Credit History?</t>
  </si>
  <si>
    <t xml:space="preserve">Exceptions to Serviceability Policy? </t>
  </si>
  <si>
    <t xml:space="preserve">* See definition </t>
  </si>
  <si>
    <t>Serviceability Verification Waivers?</t>
  </si>
  <si>
    <t xml:space="preserve">LVR at Approval? </t>
  </si>
  <si>
    <t>First Home Buyer?</t>
  </si>
  <si>
    <t>Serviced by foreign sourced income?</t>
  </si>
  <si>
    <t>Bridging Loan Worksheet</t>
  </si>
  <si>
    <t>Peak Debt</t>
  </si>
  <si>
    <t>Other Inputs</t>
  </si>
  <si>
    <t>Payout existing home loan</t>
  </si>
  <si>
    <t>Bridging loan interest rate</t>
  </si>
  <si>
    <t>Payout other debts being refinanced (if applicable)</t>
  </si>
  <si>
    <t>Bridging loan term (max. 6 months)</t>
  </si>
  <si>
    <t>Purchase price NEW property</t>
  </si>
  <si>
    <t>Agents commission</t>
  </si>
  <si>
    <t>Purchase costs (ie. Stamp duty)</t>
  </si>
  <si>
    <r>
      <rPr>
        <i/>
        <sz val="10"/>
        <rFont val="Arial"/>
        <family val="2"/>
      </rPr>
      <t>Less</t>
    </r>
    <r>
      <rPr>
        <sz val="10"/>
        <rFont val="Arial"/>
        <family val="2"/>
      </rPr>
      <t xml:space="preserve"> deposit paid</t>
    </r>
  </si>
  <si>
    <r>
      <rPr>
        <i/>
        <sz val="10"/>
        <rFont val="Arial"/>
        <family val="2"/>
      </rPr>
      <t xml:space="preserve">Less </t>
    </r>
    <r>
      <rPr>
        <sz val="10"/>
        <rFont val="Arial"/>
        <family val="2"/>
      </rPr>
      <t>any additional contribution towards purchase</t>
    </r>
  </si>
  <si>
    <t>Value of property being sold</t>
  </si>
  <si>
    <t>Sub Total</t>
  </si>
  <si>
    <t>New property purchase price</t>
  </si>
  <si>
    <t>Interest capitalised to loan</t>
  </si>
  <si>
    <t>Other securities offered</t>
  </si>
  <si>
    <t>Total Peak Debt including interest</t>
  </si>
  <si>
    <t>Security value</t>
  </si>
  <si>
    <t>End Debt</t>
  </si>
  <si>
    <r>
      <rPr>
        <i/>
        <sz val="10"/>
        <rFont val="Arial"/>
        <family val="2"/>
      </rPr>
      <t>Less</t>
    </r>
    <r>
      <rPr>
        <sz val="10"/>
        <rFont val="Arial"/>
        <family val="2"/>
      </rPr>
      <t xml:space="preserve"> Proceeds of Sale</t>
    </r>
  </si>
  <si>
    <t>Selling costs - Agent/Auction Costs/Marketing</t>
  </si>
  <si>
    <t>Sale proceeds retained by borrower</t>
  </si>
  <si>
    <t>Total End Debt</t>
  </si>
  <si>
    <t>CAT2</t>
  </si>
  <si>
    <t>Breakdown of "Capital" and "Balance of State". Below are areas included in the respective "Capital" dummies in the HEM analysis. ABS 1216.0 - Australian Standard Geographical Classification (ASGC)</t>
  </si>
  <si>
    <t>New South Wales</t>
  </si>
  <si>
    <t>Victoria</t>
  </si>
  <si>
    <t>Queensland</t>
  </si>
  <si>
    <t>South Australia</t>
  </si>
  <si>
    <t>Western Australia</t>
  </si>
  <si>
    <t>Tasmania</t>
  </si>
  <si>
    <t>Inner Sydney</t>
  </si>
  <si>
    <t>Inner Melbourne</t>
  </si>
  <si>
    <t>Inner Brisbane</t>
  </si>
  <si>
    <t>Northern Adelaide</t>
  </si>
  <si>
    <t>Central Metropolitan</t>
  </si>
  <si>
    <t>Greater Hobart</t>
  </si>
  <si>
    <t>Botany Bay (C)</t>
  </si>
  <si>
    <t>Melbourne (C) - Inner</t>
  </si>
  <si>
    <t>Bowen Hills</t>
  </si>
  <si>
    <t>Gawler (T)</t>
  </si>
  <si>
    <t>Cambridge (T)</t>
  </si>
  <si>
    <t>Brighton (M)</t>
  </si>
  <si>
    <t>Leichhardt (A)</t>
  </si>
  <si>
    <t>Melbourne (C) - S'bank-D'lands</t>
  </si>
  <si>
    <t>City - Inner</t>
  </si>
  <si>
    <t>Playford (C) - East Central</t>
  </si>
  <si>
    <t>Claremont (T)</t>
  </si>
  <si>
    <t>Clarence (C)</t>
  </si>
  <si>
    <t>Marrickville (A)</t>
  </si>
  <si>
    <t>Melbourne (C) - Remainder</t>
  </si>
  <si>
    <t>City - Remainder</t>
  </si>
  <si>
    <t>Playford (C) - Elizabeth</t>
  </si>
  <si>
    <t>Cottesloe (T)</t>
  </si>
  <si>
    <t>Derwent Valley (M) - Pt A</t>
  </si>
  <si>
    <t>Sydney (C) - Inner</t>
  </si>
  <si>
    <t>Port Phillip (C) - St Kilda</t>
  </si>
  <si>
    <t>Dutton Park</t>
  </si>
  <si>
    <t>Playford (C) - Hills</t>
  </si>
  <si>
    <t>Mosman Park (T)</t>
  </si>
  <si>
    <t>Glenorchy (C)</t>
  </si>
  <si>
    <t>Sydney (C) - East</t>
  </si>
  <si>
    <t>Port Phillip (C) - West</t>
  </si>
  <si>
    <t>Fortitude Valley</t>
  </si>
  <si>
    <t>Playford (C) - West</t>
  </si>
  <si>
    <t>Nedlands (C)</t>
  </si>
  <si>
    <t>Hobart (C) - Inner</t>
  </si>
  <si>
    <t>Sydney (C) - South</t>
  </si>
  <si>
    <t>Stonnington (C) - Prahran</t>
  </si>
  <si>
    <t>Herston</t>
  </si>
  <si>
    <t>Playford (C) - West Central</t>
  </si>
  <si>
    <t>Peppermint Grove (S)</t>
  </si>
  <si>
    <t>Hobart (C) - Remainder</t>
  </si>
  <si>
    <t>Sydney (C) - West</t>
  </si>
  <si>
    <t>Yarra (C) - North</t>
  </si>
  <si>
    <t>Highgate Hill</t>
  </si>
  <si>
    <t>Port Adel. Enfield (C) - East</t>
  </si>
  <si>
    <t>Perth (C) - Inner</t>
  </si>
  <si>
    <t>Kingborough (M) - Pt A</t>
  </si>
  <si>
    <t>Eastern Suburbs</t>
  </si>
  <si>
    <t>Yarra (C) - Richmond</t>
  </si>
  <si>
    <t>Kangaroo Point</t>
  </si>
  <si>
    <t>Port Adel. Enfield (C) - Inner</t>
  </si>
  <si>
    <t>Perth (C) - Remainder</t>
  </si>
  <si>
    <t>Sorell (M) - Pt A</t>
  </si>
  <si>
    <t>Randwick (C)</t>
  </si>
  <si>
    <t>Western Melbourne</t>
  </si>
  <si>
    <t>Kelvin Grove</t>
  </si>
  <si>
    <t>Salisbury (C) - Central</t>
  </si>
  <si>
    <t>Subiaco (C)</t>
  </si>
  <si>
    <t>Waverley (A)</t>
  </si>
  <si>
    <t>Brimbank (C) - Keilor</t>
  </si>
  <si>
    <t>Milton</t>
  </si>
  <si>
    <t>Salisbury (C) - Inner North</t>
  </si>
  <si>
    <t>Vincent (T)</t>
  </si>
  <si>
    <t>Woollahra (A)</t>
  </si>
  <si>
    <t>Brimbank (C) - Sunshine</t>
  </si>
  <si>
    <t>New Farm</t>
  </si>
  <si>
    <t>Salisbury (C) - North-East</t>
  </si>
  <si>
    <t>East Metropolitan</t>
  </si>
  <si>
    <t>St George-Sutherland</t>
  </si>
  <si>
    <t>Hobsons Bay (C) - Altona</t>
  </si>
  <si>
    <t>Newstead</t>
  </si>
  <si>
    <t>Salisbury (C) - South-East</t>
  </si>
  <si>
    <t>Bassendean (T)</t>
  </si>
  <si>
    <t>Hurstville (C)</t>
  </si>
  <si>
    <t>Hobsons Bay (C) - Williamstown</t>
  </si>
  <si>
    <t>Paddington</t>
  </si>
  <si>
    <t>Salisbury (C) Bal</t>
  </si>
  <si>
    <t>Bayswater (C)</t>
  </si>
  <si>
    <t>Kogarah (C)</t>
  </si>
  <si>
    <t>Maribyrnong (C)</t>
  </si>
  <si>
    <t>Red Hill</t>
  </si>
  <si>
    <t>Tea Tree Gully (C) - Central</t>
  </si>
  <si>
    <t>Kalamunda (S)</t>
  </si>
  <si>
    <t>Rockdale (C)</t>
  </si>
  <si>
    <t>Moonee Valley (C) - Essendon</t>
  </si>
  <si>
    <t>South Brisbane</t>
  </si>
  <si>
    <t>Tea Tree Gully (C) - Hills</t>
  </si>
  <si>
    <t>Mundaring (S)</t>
  </si>
  <si>
    <t>Sutherland Shire (A) - East</t>
  </si>
  <si>
    <t>Moonee Valley (C) - West</t>
  </si>
  <si>
    <t>Spring Hill</t>
  </si>
  <si>
    <t>Tea Tree Gully (C) - North</t>
  </si>
  <si>
    <t>Swan (C)</t>
  </si>
  <si>
    <t>Sutherland Shire (A) - West</t>
  </si>
  <si>
    <t>Melton-Wyndham</t>
  </si>
  <si>
    <t>West End</t>
  </si>
  <si>
    <t>Tea Tree Gully (C) - South</t>
  </si>
  <si>
    <t>North Metropolitan</t>
  </si>
  <si>
    <t>Canterbury-Bankstown</t>
  </si>
  <si>
    <t>Melton (S) - East</t>
  </si>
  <si>
    <t>Woolloongabba</t>
  </si>
  <si>
    <t>Western Adelaide</t>
  </si>
  <si>
    <t>Joondalup (C) - North</t>
  </si>
  <si>
    <t>Bankstown (C) - North-East</t>
  </si>
  <si>
    <t>Melton (S) Bal</t>
  </si>
  <si>
    <t>Northwest Inner Brisbane</t>
  </si>
  <si>
    <t>Charles Sturt (C) - Coastal</t>
  </si>
  <si>
    <t>Joondalup (C) - South</t>
  </si>
  <si>
    <t>Bankstown (C) - North-West</t>
  </si>
  <si>
    <t>Wyndham (C) - North</t>
  </si>
  <si>
    <t>Albion</t>
  </si>
  <si>
    <t>Charles Sturt (C) - Inner East</t>
  </si>
  <si>
    <t>Stirling (C) - Central</t>
  </si>
  <si>
    <t>Bankstown (C) - South</t>
  </si>
  <si>
    <t>Wyndham (C) - South</t>
  </si>
  <si>
    <t>Alderley</t>
  </si>
  <si>
    <t>Charles Sturt (C) - Inner West</t>
  </si>
  <si>
    <t>Stirling (C) - Coastal</t>
  </si>
  <si>
    <t>Canterbury (C)</t>
  </si>
  <si>
    <t>Wyndham (C) - West</t>
  </si>
  <si>
    <t>Ascot</t>
  </si>
  <si>
    <t>Charles Sturt (C) - North-East</t>
  </si>
  <si>
    <t>Stirling (C) - South-Eastern</t>
  </si>
  <si>
    <t>Fairfield-Liverpool</t>
  </si>
  <si>
    <t>Moreland City</t>
  </si>
  <si>
    <t>Ashgrove</t>
  </si>
  <si>
    <t>Port Adel. Enfield (C) - Coast</t>
  </si>
  <si>
    <t>Wanneroo (C) - North-East</t>
  </si>
  <si>
    <t>Fairfield (C) - East</t>
  </si>
  <si>
    <t>Moreland (C) - Brunswick</t>
  </si>
  <si>
    <t>Bardon</t>
  </si>
  <si>
    <t>Port Adel. Enfield (C) - Park</t>
  </si>
  <si>
    <t>Wanneroo (C) - North-West</t>
  </si>
  <si>
    <t>Fairfield (C) - West</t>
  </si>
  <si>
    <t>Moreland (C) - Coburg</t>
  </si>
  <si>
    <t>Chelmer</t>
  </si>
  <si>
    <t>Port Adel. Enfield (C) - Port</t>
  </si>
  <si>
    <t>Wanneroo (C) - South</t>
  </si>
  <si>
    <t>Liverpool (C) - East</t>
  </si>
  <si>
    <t>Moreland (C) - North</t>
  </si>
  <si>
    <t>Clayfield</t>
  </si>
  <si>
    <t>West Torrens (C) - East</t>
  </si>
  <si>
    <t>South West Metropolitan</t>
  </si>
  <si>
    <t>Liverpool (C) - West</t>
  </si>
  <si>
    <t>Northern Middle Melbourne</t>
  </si>
  <si>
    <t>Corinda</t>
  </si>
  <si>
    <t>West Torrens (C) - West</t>
  </si>
  <si>
    <t>Cockburn (C)</t>
  </si>
  <si>
    <t>Outer South Western Sydney</t>
  </si>
  <si>
    <t>Banyule (C) - Heidelberg</t>
  </si>
  <si>
    <t>Enoggera</t>
  </si>
  <si>
    <t>Unincorp. Western</t>
  </si>
  <si>
    <t>East Fremantle (T)</t>
  </si>
  <si>
    <t>Camden (A)</t>
  </si>
  <si>
    <t>Banyule (C) - North</t>
  </si>
  <si>
    <t>Graceville</t>
  </si>
  <si>
    <t>Eastern Adelaide</t>
  </si>
  <si>
    <t>Fremantle (C) - Inner</t>
  </si>
  <si>
    <t>Campbelltown (C) - North</t>
  </si>
  <si>
    <t>Darebin (C) - Northcote</t>
  </si>
  <si>
    <t>Grange</t>
  </si>
  <si>
    <t>Adelaide (C)</t>
  </si>
  <si>
    <t>Fremantle (C) - Remainder</t>
  </si>
  <si>
    <t>Campbelltown (C) - South</t>
  </si>
  <si>
    <t>Darebin (C) - Preston</t>
  </si>
  <si>
    <t>Hamilton</t>
  </si>
  <si>
    <t>Adelaide Hills (DC) - Central</t>
  </si>
  <si>
    <t>Kwinana (T)</t>
  </si>
  <si>
    <t>Wollondilly (A)</t>
  </si>
  <si>
    <t>Hume City</t>
  </si>
  <si>
    <t>Hendra</t>
  </si>
  <si>
    <t>Adelaide Hills (DC) - Ranges</t>
  </si>
  <si>
    <t>Melville (C)</t>
  </si>
  <si>
    <t>Inner Western Sydney</t>
  </si>
  <si>
    <t>Hume (C) - Broadmeadows</t>
  </si>
  <si>
    <t>Indooroopilly</t>
  </si>
  <si>
    <t>Burnside (C) - North-East</t>
  </si>
  <si>
    <t>Rockingham (C)</t>
  </si>
  <si>
    <t>Ashfield (A)</t>
  </si>
  <si>
    <t>Hume (C) - Craigieburn</t>
  </si>
  <si>
    <t>Kedron</t>
  </si>
  <si>
    <t>Burnside (C) - South-West</t>
  </si>
  <si>
    <t>South East Metropolitan</t>
  </si>
  <si>
    <t>Burwood (A)</t>
  </si>
  <si>
    <t>Hume (C) - Sunbury</t>
  </si>
  <si>
    <t>Lutwyche</t>
  </si>
  <si>
    <t>Campbelltown (C) - East</t>
  </si>
  <si>
    <t>Armadale (C)</t>
  </si>
  <si>
    <t>Canada Bay (A) - Concord</t>
  </si>
  <si>
    <t>Northern Outer Melbourne</t>
  </si>
  <si>
    <t>Newmarket</t>
  </si>
  <si>
    <t>Campbelltown (C) - West</t>
  </si>
  <si>
    <t>Belmont (C)</t>
  </si>
  <si>
    <t>Canada Bay (A) - Drummoyne</t>
  </si>
  <si>
    <t>Nillumbik (S) - South</t>
  </si>
  <si>
    <t>Nundah</t>
  </si>
  <si>
    <t>Norw. P'ham St Ptrs (C) - East</t>
  </si>
  <si>
    <t>Canning (C)</t>
  </si>
  <si>
    <t>Strathfield (A)</t>
  </si>
  <si>
    <t>Nillumbik (S) - South-West</t>
  </si>
  <si>
    <t>St Lucia</t>
  </si>
  <si>
    <t>Norw. P'ham St Ptrs (C) - West</t>
  </si>
  <si>
    <t>Gosnells (C)</t>
  </si>
  <si>
    <t>Central Western Sydney</t>
  </si>
  <si>
    <t>Nillumbik (S) Bal</t>
  </si>
  <si>
    <t>Sherwood</t>
  </si>
  <si>
    <t>Prospect (C)</t>
  </si>
  <si>
    <t>Serpentine-Jarrahdale (S)</t>
  </si>
  <si>
    <t>Auburn (C)</t>
  </si>
  <si>
    <t>Whittlesea (C) - North</t>
  </si>
  <si>
    <t>Stafford</t>
  </si>
  <si>
    <t>Unley (C) - East</t>
  </si>
  <si>
    <t>South Perth (C)</t>
  </si>
  <si>
    <t>Holroyd (C)</t>
  </si>
  <si>
    <t>Whittlesea (C) - South-East</t>
  </si>
  <si>
    <t>Stafford Heights</t>
  </si>
  <si>
    <t>Unley (C) - West</t>
  </si>
  <si>
    <t>Victoria Park (T)</t>
  </si>
  <si>
    <t>Parramatta (C) - Inner</t>
  </si>
  <si>
    <t>Whittlesea (C) - South-West</t>
  </si>
  <si>
    <t>Taringa</t>
  </si>
  <si>
    <t>Walkerville (M)</t>
  </si>
  <si>
    <t>Parramatta (C) - North-East</t>
  </si>
  <si>
    <t>Boroondara City</t>
  </si>
  <si>
    <t>Toowong</t>
  </si>
  <si>
    <t>Southern Adelaide</t>
  </si>
  <si>
    <t>Parramatta (C) - North-West</t>
  </si>
  <si>
    <t>Boroondara (C) - Camberwell N.</t>
  </si>
  <si>
    <t>Wilston</t>
  </si>
  <si>
    <t>Holdfast Bay (C) - North</t>
  </si>
  <si>
    <t>Parramatta (C) - South</t>
  </si>
  <si>
    <t>Boroondara (C) - Camberwell S.</t>
  </si>
  <si>
    <t>Windsor</t>
  </si>
  <si>
    <t>Holdfast Bay (C) - South</t>
  </si>
  <si>
    <t>Outer Western Sydney</t>
  </si>
  <si>
    <t>Boroondara (C) - Hawthorn</t>
  </si>
  <si>
    <t>Wooloowin</t>
  </si>
  <si>
    <t>Marion (C) - Central</t>
  </si>
  <si>
    <t>Blue Mountains (C)</t>
  </si>
  <si>
    <t>Boroondara (C) - Kew</t>
  </si>
  <si>
    <t>Northwest Outer Brisbane</t>
  </si>
  <si>
    <t>Marion (C) - North</t>
  </si>
  <si>
    <t>Hawkesbury (C)</t>
  </si>
  <si>
    <t>Eastern Middle Melbourne</t>
  </si>
  <si>
    <t>Anstead</t>
  </si>
  <si>
    <t>Marion (C) - South</t>
  </si>
  <si>
    <t>Penrith (C) - East</t>
  </si>
  <si>
    <t>Manningham (C) - East</t>
  </si>
  <si>
    <t>Aspley</t>
  </si>
  <si>
    <t>Mitcham (C) - Hills</t>
  </si>
  <si>
    <t>Penrith (C) - West</t>
  </si>
  <si>
    <t>Manningham (C) - West</t>
  </si>
  <si>
    <t>Bald Hills</t>
  </si>
  <si>
    <t>Mitcham (C) - North-East</t>
  </si>
  <si>
    <t>Blacktown</t>
  </si>
  <si>
    <t>Monash (C) - South-West</t>
  </si>
  <si>
    <t>Banyo</t>
  </si>
  <si>
    <t>Mitcham (C) - West</t>
  </si>
  <si>
    <t>Blacktown (C) - North</t>
  </si>
  <si>
    <t>Monash (C) - Waverley East</t>
  </si>
  <si>
    <t>Bellbowrie</t>
  </si>
  <si>
    <t>Onkaparinga (C) - Hackham</t>
  </si>
  <si>
    <t>Blacktown (C) - South-East</t>
  </si>
  <si>
    <t>Monash (C) - Waverley West</t>
  </si>
  <si>
    <t>Boondall</t>
  </si>
  <si>
    <t>Onkaparinga (C) - Hills</t>
  </si>
  <si>
    <t>Blacktown (C) - South-West</t>
  </si>
  <si>
    <t>Whitehorse (C) - Box Hill</t>
  </si>
  <si>
    <t>Bracken Ridge</t>
  </si>
  <si>
    <t>Onkaparinga (C) - Morphett</t>
  </si>
  <si>
    <t>Lower Northern Sydney</t>
  </si>
  <si>
    <t>Whitehorse (C) - Nunawading E.</t>
  </si>
  <si>
    <t>Bridgeman Downs</t>
  </si>
  <si>
    <t>Onkaparinga (C) - North Coast</t>
  </si>
  <si>
    <t>Hunters Hill (A)</t>
  </si>
  <si>
    <t>Whitehorse (C) - Nunawading W.</t>
  </si>
  <si>
    <t>Brighton</t>
  </si>
  <si>
    <t>Onkaparinga (C) - Reservoir</t>
  </si>
  <si>
    <t>Lane Cove (A)</t>
  </si>
  <si>
    <t>Eastern Outer Melbourne</t>
  </si>
  <si>
    <t>Brookfield (incl. Brisbane Forest Park)</t>
  </si>
  <si>
    <t>Onkaparinga (C) - South Coast</t>
  </si>
  <si>
    <t>Mosman (A)</t>
  </si>
  <si>
    <t>Knox (C) - North-East</t>
  </si>
  <si>
    <t>Carseldine</t>
  </si>
  <si>
    <t>Onkaparinga (C) - Woodcroft</t>
  </si>
  <si>
    <t>North Sydney (A)</t>
  </si>
  <si>
    <t>Knox (C) - North-West</t>
  </si>
  <si>
    <t>Chapel Hill</t>
  </si>
  <si>
    <t>Ryde (C)</t>
  </si>
  <si>
    <t>Knox (C) - South</t>
  </si>
  <si>
    <t>Chermside</t>
  </si>
  <si>
    <t>Willoughby (C)</t>
  </si>
  <si>
    <t>Maroondah (C) - Croydon</t>
  </si>
  <si>
    <t>Chermside West</t>
  </si>
  <si>
    <t>Central Northern Sydney</t>
  </si>
  <si>
    <t>Maroondah (C) - Ringwood</t>
  </si>
  <si>
    <t>Darra-Sumner</t>
  </si>
  <si>
    <t>The Hills Shire (A) - Central</t>
  </si>
  <si>
    <t>Yarra Ranges Shire Part A</t>
  </si>
  <si>
    <t>Deagon</t>
  </si>
  <si>
    <t>The Hills Shire (A) - North</t>
  </si>
  <si>
    <t>Yarra Ranges (S) - Central</t>
  </si>
  <si>
    <t>Doolandella-Forest Lake</t>
  </si>
  <si>
    <t>The Hills Shire (A) - South</t>
  </si>
  <si>
    <t>Yarra Ranges (S) - Dandenongs</t>
  </si>
  <si>
    <t>Durack</t>
  </si>
  <si>
    <t>Hornsby (A) - North</t>
  </si>
  <si>
    <t>Yarra Ranges (S) - Lilydale</t>
  </si>
  <si>
    <t>Ellen Grove</t>
  </si>
  <si>
    <t>Hornsby (A) - South</t>
  </si>
  <si>
    <t>Yarra Ranges (S) - North</t>
  </si>
  <si>
    <t>Everton Park</t>
  </si>
  <si>
    <t>Ku-ring-gai (A)</t>
  </si>
  <si>
    <t>Yarra Ranges (S) - Seville</t>
  </si>
  <si>
    <t>Ferny Grove</t>
  </si>
  <si>
    <t>Northern Beaches</t>
  </si>
  <si>
    <t>Southern Melbourne</t>
  </si>
  <si>
    <t>Fig Tree Pocket</t>
  </si>
  <si>
    <t>Manly (A)</t>
  </si>
  <si>
    <t>Bayside (C) - Brighton</t>
  </si>
  <si>
    <t>Geebung</t>
  </si>
  <si>
    <t>Pittwater (A)</t>
  </si>
  <si>
    <t>Bayside (C) - South</t>
  </si>
  <si>
    <t>Inala</t>
  </si>
  <si>
    <t>Warringah (A)</t>
  </si>
  <si>
    <t>Glen Eira (C) - Caulfield</t>
  </si>
  <si>
    <t>Jamboree Heights</t>
  </si>
  <si>
    <t>Central Coast</t>
  </si>
  <si>
    <t>Glen Eira (C) - South</t>
  </si>
  <si>
    <t>Jindalee</t>
  </si>
  <si>
    <t>Gosford (C) - East</t>
  </si>
  <si>
    <t>Kingston (C) - North</t>
  </si>
  <si>
    <t>Karana Downs-Lake Manchester</t>
  </si>
  <si>
    <t>Gosford (C) - West</t>
  </si>
  <si>
    <t>Kingston (C) - South</t>
  </si>
  <si>
    <t>Kenmore</t>
  </si>
  <si>
    <t>Wyong (A) - North-East</t>
  </si>
  <si>
    <t>Stonnington (C) - Malvern</t>
  </si>
  <si>
    <t>Kenmore Hills</t>
  </si>
  <si>
    <t>Wyong (A) - South and West</t>
  </si>
  <si>
    <t>Greater Dandenong City</t>
  </si>
  <si>
    <t>Keperra</t>
  </si>
  <si>
    <t>Gr. Dandenong (C) - Dandenong</t>
  </si>
  <si>
    <t>McDowall</t>
  </si>
  <si>
    <t>Gr. Dandenong (C) Bal</t>
  </si>
  <si>
    <t>Middle Park</t>
  </si>
  <si>
    <t>South Eastern Outer Melbourne</t>
  </si>
  <si>
    <t>Mitchelton</t>
  </si>
  <si>
    <t>Cardinia (S) - North</t>
  </si>
  <si>
    <t>Moggill</t>
  </si>
  <si>
    <t>Cardinia (S) - Pakenham</t>
  </si>
  <si>
    <t>Mount Ommaney</t>
  </si>
  <si>
    <t>Cardinia (S) - South</t>
  </si>
  <si>
    <t>Northgate</t>
  </si>
  <si>
    <t>Casey (C) - Berwick</t>
  </si>
  <si>
    <t>Nudgee</t>
  </si>
  <si>
    <t>Casey (C) - Cranbourne</t>
  </si>
  <si>
    <t>Oxley</t>
  </si>
  <si>
    <t>Casey (C) - Hallam</t>
  </si>
  <si>
    <t>Pinjarra Hills</t>
  </si>
  <si>
    <t>Casey (C) - South</t>
  </si>
  <si>
    <t>Pinkenba-Eagle Farm</t>
  </si>
  <si>
    <t>Frankston City</t>
  </si>
  <si>
    <t>Pullenvale</t>
  </si>
  <si>
    <t>Frankston (C) - East</t>
  </si>
  <si>
    <t>Richlands</t>
  </si>
  <si>
    <t>Frankston (C) - West</t>
  </si>
  <si>
    <t>Riverhills</t>
  </si>
  <si>
    <t>Mornington Peninsula Shire</t>
  </si>
  <si>
    <t>Sandgate</t>
  </si>
  <si>
    <t>Mornington P'sula (S) - East</t>
  </si>
  <si>
    <t>Seventeen Mile Rocks</t>
  </si>
  <si>
    <t>Mornington P'sula (S) - South</t>
  </si>
  <si>
    <t>Taigum-Fitzgibbon</t>
  </si>
  <si>
    <t>Mornington P'sula (S) - West</t>
  </si>
  <si>
    <t>The Gap</t>
  </si>
  <si>
    <t>Upper Kedron</t>
  </si>
  <si>
    <t>Virginia</t>
  </si>
  <si>
    <t>Wacol</t>
  </si>
  <si>
    <t>Wavell Heights</t>
  </si>
  <si>
    <t>Westlake</t>
  </si>
  <si>
    <t>Zillmere</t>
  </si>
  <si>
    <t>Southeast Inner Brisbane</t>
  </si>
  <si>
    <t>Annerley</t>
  </si>
  <si>
    <t>Balmoral</t>
  </si>
  <si>
    <t>Bulimba</t>
  </si>
  <si>
    <t>Camp Hill</t>
  </si>
  <si>
    <t>Cannon Hill</t>
  </si>
  <si>
    <t>Carindale</t>
  </si>
  <si>
    <t>Carina</t>
  </si>
  <si>
    <t>Carina Heights</t>
  </si>
  <si>
    <t>Coorparoo</t>
  </si>
  <si>
    <t>East Brisbane</t>
  </si>
  <si>
    <t>Fairfield</t>
  </si>
  <si>
    <t>Greenslopes</t>
  </si>
  <si>
    <t>Hawthorne</t>
  </si>
  <si>
    <t>Holland Park</t>
  </si>
  <si>
    <t>Holland Park West</t>
  </si>
  <si>
    <t>Moorooka</t>
  </si>
  <si>
    <t>Morningside</t>
  </si>
  <si>
    <t>Norman Park</t>
  </si>
  <si>
    <t>Tarragindi</t>
  </si>
  <si>
    <t>Yeerongpilly</t>
  </si>
  <si>
    <t>Yeronga</t>
  </si>
  <si>
    <t>Southeast Outer Brisbane</t>
  </si>
  <si>
    <t>Acacia Ridge</t>
  </si>
  <si>
    <t>Algester</t>
  </si>
  <si>
    <t>Archerfield</t>
  </si>
  <si>
    <t>Belmont-Mackenzie</t>
  </si>
  <si>
    <t>Burbank</t>
  </si>
  <si>
    <t>Calamvale</t>
  </si>
  <si>
    <t>Chandler-Capalaba West</t>
  </si>
  <si>
    <t>Coopers Plains</t>
  </si>
  <si>
    <t>Eight Mile Plains</t>
  </si>
  <si>
    <t>Gumdale-Ransome</t>
  </si>
  <si>
    <t>Hemmant-Lytton</t>
  </si>
  <si>
    <t>Kuraby</t>
  </si>
  <si>
    <t>Lota</t>
  </si>
  <si>
    <t>MacGregor</t>
  </si>
  <si>
    <t>Manly</t>
  </si>
  <si>
    <t>Manly West</t>
  </si>
  <si>
    <t>Mansfield</t>
  </si>
  <si>
    <t>Moreton Island</t>
  </si>
  <si>
    <t>Mount Gravatt</t>
  </si>
  <si>
    <t>Mount Gravatt East</t>
  </si>
  <si>
    <t>Murarrie</t>
  </si>
  <si>
    <t>Nathan</t>
  </si>
  <si>
    <t>Pallara-Heathwood-Larapinta</t>
  </si>
  <si>
    <t>Parkinson-Drewvale</t>
  </si>
  <si>
    <t>Robertson</t>
  </si>
  <si>
    <t>Rochedale</t>
  </si>
  <si>
    <t>Rocklea</t>
  </si>
  <si>
    <t>Runcorn</t>
  </si>
  <si>
    <t>Salisbury</t>
  </si>
  <si>
    <t>Stretton-Karawatha</t>
  </si>
  <si>
    <t>Sunnybank</t>
  </si>
  <si>
    <t>Sunnybank Hills</t>
  </si>
  <si>
    <t>Tingalpa</t>
  </si>
  <si>
    <t>Upper Mount Gravatt</t>
  </si>
  <si>
    <t>Wakerley</t>
  </si>
  <si>
    <t>Willawong</t>
  </si>
  <si>
    <t>Wishart</t>
  </si>
  <si>
    <t>Wynnum</t>
  </si>
  <si>
    <t>Wynnum West</t>
  </si>
  <si>
    <t>Caboolture</t>
  </si>
  <si>
    <t>Bribie Island</t>
  </si>
  <si>
    <t>Burpengary-Narangba</t>
  </si>
  <si>
    <t>Caboolture Central</t>
  </si>
  <si>
    <t>Caboolture East</t>
  </si>
  <si>
    <t>Caboolture Hinterland</t>
  </si>
  <si>
    <t>Caboolture Midwest</t>
  </si>
  <si>
    <t>Deception Bay</t>
  </si>
  <si>
    <t>Morayfield</t>
  </si>
  <si>
    <t>Ipswich City</t>
  </si>
  <si>
    <t>Ipswich (C) - Central</t>
  </si>
  <si>
    <t>Ipswich (C) - East</t>
  </si>
  <si>
    <t>Ipswich (C) - North</t>
  </si>
  <si>
    <t>Ipswich (C) - South-West</t>
  </si>
  <si>
    <t>Ipswich (C) - West</t>
  </si>
  <si>
    <t>Logan City</t>
  </si>
  <si>
    <t>Beenleigh</t>
  </si>
  <si>
    <t>Bethania-Waterford</t>
  </si>
  <si>
    <t>Browns Plains</t>
  </si>
  <si>
    <t>Carbrook-Cornubia</t>
  </si>
  <si>
    <t>Daisy Hill-Priestdale</t>
  </si>
  <si>
    <t>Eagleby</t>
  </si>
  <si>
    <t>Edens Landing-Holmview</t>
  </si>
  <si>
    <t>Greenbank-Boronia Heights</t>
  </si>
  <si>
    <t>Jimboomba-Logan Village</t>
  </si>
  <si>
    <t>Kingston</t>
  </si>
  <si>
    <t>Loganholme</t>
  </si>
  <si>
    <t>Loganlea</t>
  </si>
  <si>
    <t>Marsden</t>
  </si>
  <si>
    <t>Mt Warren Park</t>
  </si>
  <si>
    <t>Park Ridge-Logan Reserve</t>
  </si>
  <si>
    <t>Rochedale South</t>
  </si>
  <si>
    <t>Shailer Park</t>
  </si>
  <si>
    <t>Slacks Creek</t>
  </si>
  <si>
    <t>Springwood</t>
  </si>
  <si>
    <t>Tanah Merah</t>
  </si>
  <si>
    <t>Underwood</t>
  </si>
  <si>
    <t>Waterford West</t>
  </si>
  <si>
    <t>Wolffdene-Bahrs Scrub</t>
  </si>
  <si>
    <t>Woodridge</t>
  </si>
  <si>
    <t>Pine Rivers</t>
  </si>
  <si>
    <t>Albany Creek</t>
  </si>
  <si>
    <t>Bray Park</t>
  </si>
  <si>
    <t>Central Pine West</t>
  </si>
  <si>
    <t>Dakabin-Kallangur-M. Downs</t>
  </si>
  <si>
    <t>Griffin-Mango Hill</t>
  </si>
  <si>
    <t>Hills District</t>
  </si>
  <si>
    <t>Lawnton</t>
  </si>
  <si>
    <t>Petrie</t>
  </si>
  <si>
    <t>Strathpine-Brendale</t>
  </si>
  <si>
    <t>Moreton Bay (R) Bal</t>
  </si>
  <si>
    <t>Redcliffe</t>
  </si>
  <si>
    <t>Clontarf</t>
  </si>
  <si>
    <t>Margate-Woody Point</t>
  </si>
  <si>
    <t>Redcliffe-Scarborough</t>
  </si>
  <si>
    <t>Rothwell-Kippa-Ring</t>
  </si>
  <si>
    <t>Redland City</t>
  </si>
  <si>
    <t>Alexandra Hills</t>
  </si>
  <si>
    <t>Birkdale</t>
  </si>
  <si>
    <t>Capalaba</t>
  </si>
  <si>
    <t>Cleveland</t>
  </si>
  <si>
    <t>Ormiston</t>
  </si>
  <si>
    <t>Redland Bay</t>
  </si>
  <si>
    <t>Sheldon-Mt Cotton</t>
  </si>
  <si>
    <t>Thorneside</t>
  </si>
  <si>
    <t>Thornlands</t>
  </si>
  <si>
    <t>Victoria Point</t>
  </si>
  <si>
    <t>Wellington Point</t>
  </si>
  <si>
    <t>Redland (C) Bal</t>
  </si>
  <si>
    <t>"HEM Table 1" equivalent: by Income Level and Residency</t>
  </si>
  <si>
    <t>BASED ON PREDICTED VALUES FROM THE QUANTILE REGRESSIONS</t>
  </si>
  <si>
    <t>Smoothed HEM</t>
  </si>
  <si>
    <t>Total current gross HH income from all sources (measured in current dollars)</t>
  </si>
  <si>
    <t>Additional child</t>
  </si>
  <si>
    <t>dddd</t>
  </si>
  <si>
    <t>Couple</t>
  </si>
  <si>
    <t>2+0</t>
  </si>
  <si>
    <t>Couple with 1 child</t>
  </si>
  <si>
    <t>2+1</t>
  </si>
  <si>
    <t>Couple with 2 children</t>
  </si>
  <si>
    <t>2+2</t>
  </si>
  <si>
    <t>Couple with 3 or more children</t>
  </si>
  <si>
    <t>2+3</t>
  </si>
  <si>
    <t>2+4</t>
  </si>
  <si>
    <t>2+5</t>
  </si>
  <si>
    <t>2+6</t>
  </si>
  <si>
    <t>Single person</t>
  </si>
  <si>
    <t>1+0</t>
  </si>
  <si>
    <t>Single parent with 1 child</t>
  </si>
  <si>
    <t>1+1</t>
  </si>
  <si>
    <t>Single parent with 2 children</t>
  </si>
  <si>
    <t>1+2</t>
  </si>
  <si>
    <t>Single parent with 3 or more children</t>
  </si>
  <si>
    <t>1+3</t>
  </si>
  <si>
    <t>1+4</t>
  </si>
  <si>
    <t>1+5</t>
  </si>
  <si>
    <t>1+6</t>
  </si>
  <si>
    <t>Below is a copy/paste of Table 1 in the HPL publication</t>
  </si>
  <si>
    <t>The relevant column for the HEM is the last column, the column "Other than Housing in $ per week". This is because the HEM is net of housing expenditure.</t>
  </si>
  <si>
    <t>In the HPL different poverty lines are computed based on the head of the household's labour force status; This is not the case for the HEM. There is only one HEM.</t>
  </si>
  <si>
    <t>The 'standard' smoothed HEM by family type is presented to the right of HPL Table 1 and is in bold print; This is the smoothed HEM for Australia as a whole. It is calculated based on within family type expenditure on median absolute basics and the 25th percentile discretionary basics (i.e. based on raw data)</t>
  </si>
  <si>
    <t>The smoothed HEM values are moving averages over the current and the previous three quarters.</t>
  </si>
  <si>
    <t>Other tables report the HEM numbers by geographic location (State capital and balance of state), 13 different household income groups, and finally by geographic and household income levels. These numbers are obtained by predicting median absolute basic and the 25th percentile of discretionary basics using the estimation results from the quantile regressions.</t>
  </si>
  <si>
    <t>Then, these predicted values are added to get the predicted HEM. Finally, these predicted HEMs are averaged by family type. One exception is for single parents with 3 children. Due to the small sample size, the HEM for this group is simply the HEM for single parents with 2 children plus the increase in the HEM going from 1 to 2 children.</t>
  </si>
  <si>
    <t>The advantage of predicting the HEM is that there simply would not be enough families to get a reliable estimate for single parents with 2 children on more than $100K when trying to use raw data, let alone specifically for less densely populated areas (e.g. Tasmania excl. Hobart)</t>
  </si>
  <si>
    <t>"HPL Table 1"</t>
  </si>
  <si>
    <t>"HEM Table 1" equivalent</t>
  </si>
  <si>
    <t>"HEM Table 1" equivalent: by Geographic Location</t>
  </si>
  <si>
    <t>BASED ON RAW DATA</t>
  </si>
  <si>
    <t>or less</t>
  </si>
  <si>
    <t>to</t>
  </si>
  <si>
    <t>HEAD IN WORKFORCE</t>
  </si>
  <si>
    <t>Including Housing $ per week</t>
  </si>
  <si>
    <t>Other than Housing $ per week</t>
  </si>
  <si>
    <t>WORKFORCE STATUS HEAD NOT USED</t>
  </si>
  <si>
    <t>Other than Housing S per week</t>
  </si>
  <si>
    <t>ACT&amp;NT</t>
  </si>
  <si>
    <t>-</t>
  </si>
  <si>
    <t>Couple with 3 children</t>
  </si>
  <si>
    <t>Couple with 4 children</t>
  </si>
  <si>
    <t>Single parent with 3 children</t>
  </si>
  <si>
    <t>Single parent with 4 children</t>
  </si>
  <si>
    <t>HEAD NOT IN WORKFORCE</t>
  </si>
  <si>
    <t>Sample Sizes for different family types</t>
  </si>
  <si>
    <t>Sample Sizes for the different income categories (expressed in 2015 dollars)</t>
  </si>
  <si>
    <t>$20,000 or less</t>
  </si>
  <si>
    <t>$20,000 to $30,000</t>
  </si>
  <si>
    <t>$30,000 to $40,000</t>
  </si>
  <si>
    <t>$40,000 to $50,000</t>
  </si>
  <si>
    <t>$50,000 to $60,000</t>
  </si>
  <si>
    <t>$60,000 to $80,000</t>
  </si>
  <si>
    <t>$80,000 to $100,000</t>
  </si>
  <si>
    <t>$100,000 to $120,000</t>
  </si>
  <si>
    <t>$120,000 to $140,000</t>
  </si>
  <si>
    <t>$140,000 to $160,000</t>
  </si>
  <si>
    <t>$160,000 to $200,000</t>
  </si>
  <si>
    <t>$200,000 to $250,000</t>
  </si>
  <si>
    <t>$250,000 to $300,000</t>
  </si>
  <si>
    <t>$300,000 to $500,000</t>
  </si>
  <si>
    <t xml:space="preserve">Change date </t>
  </si>
  <si>
    <t>Change's made</t>
  </si>
  <si>
    <t xml:space="preserve">Changed by </t>
  </si>
  <si>
    <t xml:space="preserve">HEM updated to inlcude Drop In Table received from Perpetual on the 13/5/22 </t>
  </si>
  <si>
    <t xml:space="preserve">CCO - Taryn Pontifex </t>
  </si>
  <si>
    <t>Mortgage registration fees for each state updated in the Fees tab - effective 1 July 2022</t>
  </si>
  <si>
    <t>New MX Lending Consultant added to "Submitted by" Table - Adiyva Gharde</t>
  </si>
  <si>
    <t>Interest rates updated to reflect changes effective the 23rd June 2022 - increase</t>
  </si>
  <si>
    <t>Interest rates updated to reflect changes effective the 21st July 2022 - increase</t>
  </si>
  <si>
    <t>SMC- Justin Howell</t>
  </si>
  <si>
    <t>HELP table updated to reflect changes for FY23</t>
  </si>
  <si>
    <t>Confirmation added that tax rates and medicare levy surcharge remains unchanged for FY23</t>
  </si>
  <si>
    <t>Updated fee tab to inlcude ACT's registraton fees</t>
  </si>
  <si>
    <t>Amended Valuation and LMI calculator in the fee tab to include the standard valuation cost now covered by MOVE Bank.</t>
  </si>
  <si>
    <t xml:space="preserve">HEM updated to inlcude Drop In Table received from Perpetual on the 12/8/22 </t>
  </si>
  <si>
    <t>Interest rates updated to reflect changes effective the 22nd August 2022 - increase</t>
  </si>
  <si>
    <t>Living expenses amended to reflect new budget requested from applicants</t>
  </si>
  <si>
    <t>Private school fees added as an option for other commitments on the Worksheet tab</t>
  </si>
  <si>
    <t>New Straightforward Plus product added</t>
  </si>
  <si>
    <t>2 Year Fixed Rate Interest rates updated to reflect changes effective the 5th September 2022</t>
  </si>
  <si>
    <t>Interest rates updated to reflect changes effective the 23rd September 2022 - increase</t>
  </si>
  <si>
    <t>Interest rates updated to reflect changes effective the 14th October 2022 - increase new car loans</t>
  </si>
  <si>
    <t>Interest rates updated to reflect changes effective the 24th October 2022 - increase &amp; decrease of S/Forward Plus</t>
  </si>
  <si>
    <t xml:space="preserve">Adjusted DLAs for Senior Loan Assessors to allow them to approve 100% NSR for non mortgage loans. </t>
  </si>
  <si>
    <t>Removed Taryn Pontifex as an approval officer</t>
  </si>
  <si>
    <t xml:space="preserve">HEM updated to inlcude Drop In Table received from Perpetual on the 14/11/22 </t>
  </si>
  <si>
    <t>Interest rates updated to reflect changes effective the 1st December 2022 - increase</t>
  </si>
  <si>
    <t>Special Offer Personal Loan removed from sale</t>
  </si>
  <si>
    <t>Interest rates updated to reflect changes effective the 23rd December 2022 - increase</t>
  </si>
  <si>
    <t>DLAs updated to reflect policy amendments dated 6/12/22</t>
  </si>
  <si>
    <t>Floor rate raised to 7% as per policy amendments dated 6/12/22</t>
  </si>
  <si>
    <t>Renee Singh, Sarah Haines &amp; Julie O'Regan added as loan submitters. Ebony Gladden, Tracy Morris &amp; Maui Bernadas removed</t>
  </si>
  <si>
    <t>Other tables report the HEM numbers by geographic location (State capital and balance of state), 16 different household income groups, and finally by geographic and household income levels. These numbers are obtained by predicting median absolute basic and the 25th percentile of discretionary basics using the estimation results from the quantile regressions.</t>
  </si>
  <si>
    <t>Then, these predicted values are added to get the predicted HEM. Finally, these predicted HEMs are averaged by family type. [NOTE: NOT SO HERE. Instead, costs are single, couple and per child. Costs per child are calculated as 14% of the costs of the HEM for a (lone parent or couple) family with 2 children.]</t>
  </si>
  <si>
    <t>The advantage of predicting the HEM is that there simply would not be enough families to get a reliable estimate for single parents with 3 children on more than $100K when trying to use raw data, let alone specifically for less densely populated areas (e.g. Tasmania excl. Hobart)</t>
  </si>
  <si>
    <t>NEW FROM 2012Q4: Smoothed HEM</t>
  </si>
  <si>
    <t>Per child</t>
  </si>
  <si>
    <r>
      <t>Table A2.1: Quantile (50</t>
    </r>
    <r>
      <rPr>
        <b/>
        <vertAlign val="superscript"/>
        <sz val="11"/>
        <rFont val="Times New Roman"/>
        <family val="1"/>
      </rPr>
      <t>th</t>
    </r>
    <r>
      <rPr>
        <b/>
        <sz val="11"/>
        <rFont val="Times New Roman"/>
        <family val="1"/>
      </rPr>
      <t xml:space="preserve"> pctl) regression of expenditure on Absolute Basics</t>
    </r>
  </si>
  <si>
    <r>
      <t>Table A2.2: Quantile (25</t>
    </r>
    <r>
      <rPr>
        <b/>
        <vertAlign val="superscript"/>
        <sz val="11"/>
        <rFont val="Times New Roman"/>
        <family val="1"/>
      </rPr>
      <t>th</t>
    </r>
    <r>
      <rPr>
        <b/>
        <sz val="11"/>
        <rFont val="Times New Roman"/>
        <family val="1"/>
      </rPr>
      <t xml:space="preserve"> pctl) regression of expenditure on Discretionary Basics</t>
    </r>
  </si>
  <si>
    <t>Quantile (Median) Regression on Absolute Basics</t>
  </si>
  <si>
    <r>
      <t>Quantile (25</t>
    </r>
    <r>
      <rPr>
        <vertAlign val="superscript"/>
        <sz val="11"/>
        <color rgb="FF000000"/>
        <rFont val="Times New Roman"/>
        <family val="1"/>
      </rPr>
      <t>th</t>
    </r>
    <r>
      <rPr>
        <sz val="11"/>
        <color rgb="FF000000"/>
        <rFont val="Times New Roman"/>
        <family val="1"/>
      </rPr>
      <t xml:space="preserve"> percentile) Regression on Discretionary Basics</t>
    </r>
  </si>
  <si>
    <t>Characteristics of reference household:</t>
  </si>
  <si>
    <t>Couple without children</t>
  </si>
  <si>
    <t>Living in Sydney</t>
  </si>
  <si>
    <t>2 Bedrooms</t>
  </si>
  <si>
    <t>Have a mortgage</t>
  </si>
  <si>
    <t>HH reference person is male</t>
  </si>
  <si>
    <t>HH reference person is Australian born</t>
  </si>
  <si>
    <t>HH reference person is aged between 35 and 39 yrs</t>
  </si>
  <si>
    <t>HH reference person is employed</t>
  </si>
  <si>
    <t>Total Gross HH Income (from all sources) between $80,000 and $100,000</t>
  </si>
  <si>
    <t>In the 5th Net Wealth decile</t>
  </si>
  <si>
    <t>No credit cards</t>
  </si>
  <si>
    <t>Coef.</t>
  </si>
  <si>
    <t>Sig.</t>
  </si>
  <si>
    <t>Std. Err.</t>
  </si>
  <si>
    <t>t-value</t>
  </si>
  <si>
    <t>P&gt;|t|</t>
  </si>
  <si>
    <t>Constant</t>
  </si>
  <si>
    <t>***</t>
  </si>
  <si>
    <t>(992.1)</t>
  </si>
  <si>
    <t>(743.6)</t>
  </si>
  <si>
    <t>Family Type</t>
  </si>
  <si>
    <t>[REF: Couple without dependents]</t>
  </si>
  <si>
    <t>(401.8)</t>
  </si>
  <si>
    <t>(301.2)</t>
  </si>
  <si>
    <t>Couple with 1 dependent</t>
  </si>
  <si>
    <t>(1911.1)</t>
  </si>
  <si>
    <t>(1432.4)</t>
  </si>
  <si>
    <t>Couple with 2 dependents</t>
  </si>
  <si>
    <t>(3681.1)</t>
  </si>
  <si>
    <t>(2759.1)</t>
  </si>
  <si>
    <t>Couple with 3 dependents</t>
  </si>
  <si>
    <t>(5514.5)</t>
  </si>
  <si>
    <t>(4133.3)</t>
  </si>
  <si>
    <t>Couple with 4 or more dependents</t>
  </si>
  <si>
    <t>(7393.2)</t>
  </si>
  <si>
    <t>(5541.4)</t>
  </si>
  <si>
    <t>Lone parent with 1 dependent</t>
  </si>
  <si>
    <t>**</t>
  </si>
  <si>
    <t>(2028.4)</t>
  </si>
  <si>
    <t>(1520.4)</t>
  </si>
  <si>
    <t>Lone parent with 2 dependents</t>
  </si>
  <si>
    <t>(3766.8)</t>
  </si>
  <si>
    <t>(2823.4)</t>
  </si>
  <si>
    <t>Lone parent with 3 or more dependents</t>
  </si>
  <si>
    <t>(6272.4)</t>
  </si>
  <si>
    <t>(4701.4)</t>
  </si>
  <si>
    <t>Number of dependent children in household</t>
  </si>
  <si>
    <t>aged 0 to 14 years</t>
  </si>
  <si>
    <t>(1820.0)</t>
  </si>
  <si>
    <t>(1364.1)</t>
  </si>
  <si>
    <t>aged 15 to 24 years</t>
  </si>
  <si>
    <t>(1857.6)</t>
  </si>
  <si>
    <t>(1392.3)</t>
  </si>
  <si>
    <t>Household Reference Person Characteristics</t>
  </si>
  <si>
    <t>[REF: 35 to 39]</t>
  </si>
  <si>
    <t>24 or younger</t>
  </si>
  <si>
    <t>(1060.6)</t>
  </si>
  <si>
    <t>(795.0)</t>
  </si>
  <si>
    <t>25 to 29</t>
  </si>
  <si>
    <t>(772.2)</t>
  </si>
  <si>
    <t>(578.8)</t>
  </si>
  <si>
    <t>30 to 34</t>
  </si>
  <si>
    <t>(656.7)</t>
  </si>
  <si>
    <t>(492.3)</t>
  </si>
  <si>
    <t>40 to 44</t>
  </si>
  <si>
    <t>(638.1)</t>
  </si>
  <si>
    <t>(478.3)</t>
  </si>
  <si>
    <t>45 to 49</t>
  </si>
  <si>
    <t>*</t>
  </si>
  <si>
    <t>(672.2)</t>
  </si>
  <si>
    <t>(503.8)</t>
  </si>
  <si>
    <t>50 to 54</t>
  </si>
  <si>
    <t>(712.7)</t>
  </si>
  <si>
    <t>(534.2)</t>
  </si>
  <si>
    <t>55 to 59</t>
  </si>
  <si>
    <t>(741.3)</t>
  </si>
  <si>
    <t>(555.6)</t>
  </si>
  <si>
    <t>60 to 64</t>
  </si>
  <si>
    <t>(763.8)</t>
  </si>
  <si>
    <t>(572.5)</t>
  </si>
  <si>
    <t>65 to 69</t>
  </si>
  <si>
    <t>(780.6)</t>
  </si>
  <si>
    <t>(585.1)</t>
  </si>
  <si>
    <t>70 to 74</t>
  </si>
  <si>
    <t>(828.5)</t>
  </si>
  <si>
    <t>(621.0)</t>
  </si>
  <si>
    <t>75 to 79</t>
  </si>
  <si>
    <t>(879.5)</t>
  </si>
  <si>
    <t>(659.2)</t>
  </si>
  <si>
    <t>80 or older</t>
  </si>
  <si>
    <t>(863.5)</t>
  </si>
  <si>
    <t>(647.2)</t>
  </si>
  <si>
    <t>[REF: Male]</t>
  </si>
  <si>
    <t>Female</t>
  </si>
  <si>
    <t>(295.4)</t>
  </si>
  <si>
    <t>(221.4)</t>
  </si>
  <si>
    <t>[REF: Employed]</t>
  </si>
  <si>
    <t>Not employed</t>
  </si>
  <si>
    <t>(477.8)</t>
  </si>
  <si>
    <t>(358.1)</t>
  </si>
  <si>
    <t>Geography</t>
  </si>
  <si>
    <t>[REF: Sydney]</t>
  </si>
  <si>
    <t>NSW_balance</t>
  </si>
  <si>
    <t>(702.4)</t>
  </si>
  <si>
    <t>(526.4)</t>
  </si>
  <si>
    <t>(453.1)</t>
  </si>
  <si>
    <t>(339.6)</t>
  </si>
  <si>
    <t>VIC_balance</t>
  </si>
  <si>
    <t>(757.0)</t>
  </si>
  <si>
    <t>(567.4)</t>
  </si>
  <si>
    <t>(540.5)</t>
  </si>
  <si>
    <t>(405.1)</t>
  </si>
  <si>
    <t>QLD_balance</t>
  </si>
  <si>
    <t>(726.9)</t>
  </si>
  <si>
    <t>(544.9)</t>
  </si>
  <si>
    <t>(538.9)</t>
  </si>
  <si>
    <t>(404.0)</t>
  </si>
  <si>
    <t>SA_balance</t>
  </si>
  <si>
    <t>(912.9)</t>
  </si>
  <si>
    <t>(684.2)</t>
  </si>
  <si>
    <t>(545.2)</t>
  </si>
  <si>
    <t>(408.6)</t>
  </si>
  <si>
    <t>WA_balance</t>
  </si>
  <si>
    <t>(955.6)</t>
  </si>
  <si>
    <t>(716.3)</t>
  </si>
  <si>
    <t>(652.9)</t>
  </si>
  <si>
    <t>(489.4)</t>
  </si>
  <si>
    <t>TAS_balance</t>
  </si>
  <si>
    <t>(982.0)</t>
  </si>
  <si>
    <t>(736.0)</t>
  </si>
  <si>
    <t>ACT_NT</t>
  </si>
  <si>
    <t>(637.1)</t>
  </si>
  <si>
    <t>(477.5)</t>
  </si>
  <si>
    <t>Housing Tenure Variables</t>
  </si>
  <si>
    <t>[REF: 2 bedrooms]</t>
  </si>
  <si>
    <t>1 or less</t>
  </si>
  <si>
    <t>(673.6)</t>
  </si>
  <si>
    <t>(504.9)</t>
  </si>
  <si>
    <t>(383.9)</t>
  </si>
  <si>
    <t>(287.7)</t>
  </si>
  <si>
    <t>(473.7)</t>
  </si>
  <si>
    <t>(355.1)</t>
  </si>
  <si>
    <t>5 or more</t>
  </si>
  <si>
    <t>(810.3)</t>
  </si>
  <si>
    <t>(607.3)</t>
  </si>
  <si>
    <t>[REF: Owner with a mortgage]</t>
  </si>
  <si>
    <t>Owner without mortgage</t>
  </si>
  <si>
    <t>(441.0)</t>
  </si>
  <si>
    <t>(330.6)</t>
  </si>
  <si>
    <t>Renter</t>
  </si>
  <si>
    <t>(495.6)</t>
  </si>
  <si>
    <t>(371.5)</t>
  </si>
  <si>
    <t>Total Gross Household Income from All Sources</t>
  </si>
  <si>
    <t>[Income levels measured in 2015 dollars]</t>
  </si>
  <si>
    <t>[REF: Between $80,000 and $100,000]</t>
  </si>
  <si>
    <t>(973.5)</t>
  </si>
  <si>
    <t>(729.6)</t>
  </si>
  <si>
    <t>(721.6)</t>
  </si>
  <si>
    <t>(540.9)</t>
  </si>
  <si>
    <t>(666.4)</t>
  </si>
  <si>
    <t>(499.5)</t>
  </si>
  <si>
    <t>(678.7)</t>
  </si>
  <si>
    <t>(508.7)</t>
  </si>
  <si>
    <t>(692.0)</t>
  </si>
  <si>
    <t>(518.7)</t>
  </si>
  <si>
    <t>(610.6)</t>
  </si>
  <si>
    <t>(457.7)</t>
  </si>
  <si>
    <t>(672.8)</t>
  </si>
  <si>
    <t>(504.3)</t>
  </si>
  <si>
    <t>(728.8)</t>
  </si>
  <si>
    <t>(546.2)</t>
  </si>
  <si>
    <t>(797.0)</t>
  </si>
  <si>
    <t>(597.4)</t>
  </si>
  <si>
    <t>(745.4)</t>
  </si>
  <si>
    <t>(558.7)</t>
  </si>
  <si>
    <t>(832.6)</t>
  </si>
  <si>
    <t>(624.1)</t>
  </si>
  <si>
    <t>(1257.7)</t>
  </si>
  <si>
    <t>(942.7)</t>
  </si>
  <si>
    <t>(1055.0)</t>
  </si>
  <si>
    <t>(790.8)</t>
  </si>
  <si>
    <t>Net Wealth Decile</t>
  </si>
  <si>
    <t>[REF: Decile 5]</t>
  </si>
  <si>
    <t>(807.7)</t>
  </si>
  <si>
    <t>(605.4)</t>
  </si>
  <si>
    <t>(753.9)</t>
  </si>
  <si>
    <t>(565.1)</t>
  </si>
  <si>
    <t>(668.1)</t>
  </si>
  <si>
    <t>(500.8)</t>
  </si>
  <si>
    <t>(613.0)</t>
  </si>
  <si>
    <t>(459.4)</t>
  </si>
  <si>
    <t>(606.0)</t>
  </si>
  <si>
    <t>(454.2)</t>
  </si>
  <si>
    <t>(613.5)</t>
  </si>
  <si>
    <t>(459.9)</t>
  </si>
  <si>
    <t>(624.0)</t>
  </si>
  <si>
    <t>(467.7)</t>
  </si>
  <si>
    <t>(639.7)</t>
  </si>
  <si>
    <t>(479.5)</t>
  </si>
  <si>
    <t>(682.8)</t>
  </si>
  <si>
    <t>(511.8)</t>
  </si>
  <si>
    <t>Budget Pressure</t>
  </si>
  <si>
    <t>[REF: Usually able to save]</t>
  </si>
  <si>
    <t>Usually breaks even</t>
  </si>
  <si>
    <t>(310.8)</t>
  </si>
  <si>
    <t>(233.0)</t>
  </si>
  <si>
    <t>Usually spends more than they have</t>
  </si>
  <si>
    <t>(343.1)</t>
  </si>
  <si>
    <t>Number of credit cards in the household</t>
  </si>
  <si>
    <t>[REF: no cards]</t>
  </si>
  <si>
    <t>(344.2)</t>
  </si>
  <si>
    <t>(258.0)</t>
  </si>
  <si>
    <t>(445.3)</t>
  </si>
  <si>
    <t>(333.8)</t>
  </si>
  <si>
    <t>(667.6)</t>
  </si>
  <si>
    <t>(500.4)</t>
  </si>
  <si>
    <t>4 or more</t>
  </si>
  <si>
    <t>(845.2)</t>
  </si>
  <si>
    <t>(633.5)</t>
  </si>
  <si>
    <t>Number of observations (households)</t>
  </si>
  <si>
    <t>Pseudo R-square</t>
  </si>
  <si>
    <t>* significant at 10%; ** significant at 5%; *** significant at 1%</t>
  </si>
  <si>
    <t>Scott Uren</t>
  </si>
  <si>
    <t>Teri Hawkins</t>
  </si>
  <si>
    <t>HL S/Fwd Plus 80-90</t>
  </si>
  <si>
    <t>L52_90</t>
  </si>
  <si>
    <t>Inv S/Fwd Plus 80-90</t>
  </si>
  <si>
    <t>Inv S/Fwd Plus IO 80-90</t>
  </si>
  <si>
    <t>80-90 Loading</t>
  </si>
  <si>
    <t>90-95 Loading</t>
  </si>
  <si>
    <t>HL S/Fwd Plus 90-95</t>
  </si>
  <si>
    <t>L52_95</t>
  </si>
  <si>
    <t>HEM updated to inlcude Drop In Table received from Perpetual on the 12/2/23</t>
  </si>
  <si>
    <t>Interest rates updated to reflect changes effective the 22nd February 2023 - increase &amp; &gt; 80% loading on SW Plus</t>
  </si>
  <si>
    <t>Removed Therese Turner as an approval officer, added Mel Treacy &amp; Teri Hawkins</t>
  </si>
  <si>
    <t>Removed Matt Dam &amp; Ina Sander as submitting officers. Added Scott Uren.</t>
  </si>
  <si>
    <t>L18_90</t>
  </si>
  <si>
    <t>L18_IO_90</t>
  </si>
  <si>
    <t>80-90 loading</t>
  </si>
  <si>
    <t>90-95 loading</t>
  </si>
  <si>
    <t>Mike Currie</t>
  </si>
  <si>
    <t>Interest rates updated to reflect changes effective the 23rd March 2023 - increase</t>
  </si>
  <si>
    <t>Removed Ashlee Atkins &amp; Sarah Haines as submitting officers. Added Joe Gavarra.</t>
  </si>
  <si>
    <t>Added Mike Currie as approving officer for loans and waivers. Removed Mel Treacy</t>
  </si>
  <si>
    <t>Removed Eliott Hayes &amp; Renee Singh as submitting officers. Added Jordan Bentley &amp; Stu Ronneberg.</t>
  </si>
  <si>
    <t>Interest rates updated to reflect changes effective the 3rd May 2023 - increase 1 FRL</t>
  </si>
  <si>
    <t>Interest rates updated to reflect changes effective the 24th May 2023 - increase across the board</t>
  </si>
  <si>
    <t>HEM updated to inlcude Drop In Table received from Perpetual on the 22/5/23</t>
  </si>
  <si>
    <t>Taryn Pontifex</t>
  </si>
  <si>
    <t>80%</t>
  </si>
  <si>
    <t>2023 Registration Fee Schedule</t>
  </si>
  <si>
    <t>Amended Senior Credit Assessor and Credit Assessor DLAs as per policy change dated 16/6/23</t>
  </si>
  <si>
    <t>Added Taryn Ponitfex as approving officer and amended CCO DLA to COO</t>
  </si>
  <si>
    <t>Interest rates updated to reflect changes effective the 23rd June 2023 - increase across the board</t>
  </si>
  <si>
    <t>HELP table updated to reflect changes for FY24</t>
  </si>
  <si>
    <t>Medicare Levy surcharge figures updated to reflect change for FY24</t>
  </si>
  <si>
    <t>Confirmation added that tax rates and medicare levy  remains unchanged for FY24</t>
  </si>
  <si>
    <t>Mortgage registration fees for each state updated in the Fees tab - effective 1 July 2023</t>
  </si>
  <si>
    <t>Interest rates updated to reflect changes effective the 4th August 2023 - increase to fixed rates</t>
  </si>
  <si>
    <t>80-90 Inv Loading</t>
  </si>
  <si>
    <t>Interest rates updated to reflect changes effective the 1st September 2023 - increase to fixed rates, new car loans and SF Plus suite</t>
  </si>
  <si>
    <t>HEM updated to inlcude Drop In Table received from Perpetual on the 15/8/23</t>
  </si>
  <si>
    <t>SMC</t>
  </si>
  <si>
    <t>COO</t>
  </si>
  <si>
    <t>DLA - $2m&lt;$3m</t>
  </si>
  <si>
    <t>CEO</t>
  </si>
  <si>
    <t>Interest rates updated to reflect changes effective the 22nd November 2023 - increase across the for variable rate loans</t>
  </si>
  <si>
    <t>DLAs updated to reflect policy amendments dated November</t>
  </si>
  <si>
    <t>HL Everyday 80 (Sal Cred)</t>
  </si>
  <si>
    <t>L1_80_SC</t>
  </si>
  <si>
    <t>HL Everyday 90 (Sal Cred)</t>
  </si>
  <si>
    <t>L1_90_SC</t>
  </si>
  <si>
    <t>HL Everyday 95 (Sal Cred)</t>
  </si>
  <si>
    <t>L1_95_SC</t>
  </si>
  <si>
    <t>HL Everyday 80 IO (Sal Cred)</t>
  </si>
  <si>
    <t>L1_80_IO_SC</t>
  </si>
  <si>
    <t>HL Everyday 90 IO (Sal Cred)</t>
  </si>
  <si>
    <t>L1_90_IO_SC</t>
  </si>
  <si>
    <t>HL Everyday 95 IO (Sal Cred)</t>
  </si>
  <si>
    <t>L1_95_IO_SC</t>
  </si>
  <si>
    <t>HL Everyday Fixed 1 Year (Sal Cred)</t>
  </si>
  <si>
    <t>L1_F1_SC</t>
  </si>
  <si>
    <t>HL Everyday Fixed 1 Year IO (Sal Cred)</t>
  </si>
  <si>
    <t>L1_F1_IO_SC</t>
  </si>
  <si>
    <t>HL Everyday Fixed 2 Year (Sal Cred)</t>
  </si>
  <si>
    <t>L1_F2_SC</t>
  </si>
  <si>
    <t>HL Everyday Fixed 3 Year (Sal Cred)</t>
  </si>
  <si>
    <t>L1_F3_SC</t>
  </si>
  <si>
    <t>HL Everyday Fixed 5 Year (Sal Cred)</t>
  </si>
  <si>
    <t>L1_F5_SC</t>
  </si>
  <si>
    <t>HL Everyday Roll Rate (Sal Cred)</t>
  </si>
  <si>
    <t>L1_Roll_SC</t>
  </si>
  <si>
    <t>INV Everyday 80 (Sal Cred)</t>
  </si>
  <si>
    <t>L1_INV80_SC</t>
  </si>
  <si>
    <t>INV Everyday 90 (Sal Cred)</t>
  </si>
  <si>
    <t>L1_INV90_SC</t>
  </si>
  <si>
    <t>INV Everyday 80 IO (Sal Cred)</t>
  </si>
  <si>
    <t>L1_INV80_IO_SC</t>
  </si>
  <si>
    <t>INV Everyday 90 IO (Sal Cred)</t>
  </si>
  <si>
    <t>L1_INV90_IO_SC</t>
  </si>
  <si>
    <t>INV Everyday Fixed 1 Year (Sal Cred)</t>
  </si>
  <si>
    <t>L1_INVF1_SC</t>
  </si>
  <si>
    <t>INV Everyday Fixed 2 Year (Sal Cred)</t>
  </si>
  <si>
    <t>L1_INVF2_SC</t>
  </si>
  <si>
    <t>INV Everyday Fixed 3 Year (Sal Cred)</t>
  </si>
  <si>
    <t>L1_INVF3_SC</t>
  </si>
  <si>
    <t>INV Everyday Fixed 5 Year (Sal Cred)</t>
  </si>
  <si>
    <t>L1_INVF5_SC</t>
  </si>
  <si>
    <t>INV Everyday Fixed 1 Year IO (Sal Cred)</t>
  </si>
  <si>
    <t>L1_INVF1_IO_SC</t>
  </si>
  <si>
    <t>INV Everyday Fixed 2 Year IO (Sal Cred)</t>
  </si>
  <si>
    <t>L1_INVF2_IO_SC</t>
  </si>
  <si>
    <t>INV Everyday Fixed 3 Year IO (Sal Cred)</t>
  </si>
  <si>
    <t>L1_INVF3_IO_SC</t>
  </si>
  <si>
    <t>INV Everyday Fixed 5 Year IO (Sal Cred)</t>
  </si>
  <si>
    <t>L1_INVF5_IO_SC</t>
  </si>
  <si>
    <t>INV Everyday Roll Rate (Sal Cred)</t>
  </si>
  <si>
    <t>L1_INVRoll_SC</t>
  </si>
  <si>
    <t xml:space="preserve">HL Everyday 80 (Non Sal Cred) </t>
  </si>
  <si>
    <t>L1_80_NSC</t>
  </si>
  <si>
    <t>HL Everyday 90 (Non Sal Cred)</t>
  </si>
  <si>
    <t>L1_90_NSC</t>
  </si>
  <si>
    <t>HL Everyday 95 (Non Sal Cred)</t>
  </si>
  <si>
    <t>L1_95_NSC</t>
  </si>
  <si>
    <t>HL Everyday 80 IO (Non Sal Cred)</t>
  </si>
  <si>
    <t>L1_80_IO_NSC</t>
  </si>
  <si>
    <t>HL Everyday 90 IO (Non Sal Cred)</t>
  </si>
  <si>
    <t>L1_90_IO_NSC</t>
  </si>
  <si>
    <t>HL Everyday 95 IO (Non Sal Cred)</t>
  </si>
  <si>
    <t>L1_95_IO_NSC</t>
  </si>
  <si>
    <t>HL Everyday Fixed 1 Year (Non Sal Cred)</t>
  </si>
  <si>
    <t>L1_F1_NSC</t>
  </si>
  <si>
    <t>HL Everyday Fixed 2 Year (Non Sal Cred)</t>
  </si>
  <si>
    <t>L1_F2_NSC</t>
  </si>
  <si>
    <t>HL Everyday Fixed 3 Year (Non Sal Cred)</t>
  </si>
  <si>
    <t>L1_F3_NSC</t>
  </si>
  <si>
    <t>HL Everyday Fixed 5 Year (Non Sal Cred)</t>
  </si>
  <si>
    <t>L1_F5_NSC</t>
  </si>
  <si>
    <t>HL Everyday Roll Rate (Non Sal Cred)</t>
  </si>
  <si>
    <t>L1_Roll_NSC</t>
  </si>
  <si>
    <t>INV Everyday 80 (Non Sal Cred)</t>
  </si>
  <si>
    <t>L1_INV80_NSC</t>
  </si>
  <si>
    <t>INV Everyday 90 (Non Sal Cred)</t>
  </si>
  <si>
    <t>L1_INV90_NSC</t>
  </si>
  <si>
    <t>INV Everyday 80 IO (Non Sal Cred)</t>
  </si>
  <si>
    <t>L1_INV80_IO_NSC</t>
  </si>
  <si>
    <t>INV Everyday 90 IO (Non Sal Cred)</t>
  </si>
  <si>
    <t>L1_INV90_IO_NSC</t>
  </si>
  <si>
    <t>INV Everyday Fixed 1 Year (Non Sal Cred)</t>
  </si>
  <si>
    <t>L1_INVF1_NSC</t>
  </si>
  <si>
    <t>INV Everyday Fixed 2 Year (Non Sal Cred)</t>
  </si>
  <si>
    <t>L1_INVF2_NSC</t>
  </si>
  <si>
    <t>INV Everyday Fixed 3 Year (Non Sal Cred)</t>
  </si>
  <si>
    <t>L1_INVF3_NSC</t>
  </si>
  <si>
    <t>INV Everyday Fixed 5 Year (Non Sal Cred)</t>
  </si>
  <si>
    <t>L1_INVF5_NSC</t>
  </si>
  <si>
    <t>INV Everyday Fixed 1 Year IO (Non Sal Cred)</t>
  </si>
  <si>
    <t>L1_INVF1_IO_NSC</t>
  </si>
  <si>
    <t>INV Everyday Fixed 2 Year IO (Non Sal Cred)</t>
  </si>
  <si>
    <t>L1_INVF2_IO_NSC</t>
  </si>
  <si>
    <t>INV Everyday Fixed 3 Year IO (Non Sal Cred)</t>
  </si>
  <si>
    <t>L1_INVF3_IO_NSC</t>
  </si>
  <si>
    <t>INV Everyday Fixed 5 Year IO (Non Sal Cred)</t>
  </si>
  <si>
    <t>L1_INVF5_IO_NSC</t>
  </si>
  <si>
    <t>INV Roll Rate (Non Sal cred)</t>
  </si>
  <si>
    <t>L1_INVRoll_NSC</t>
  </si>
  <si>
    <t>HL Offset 80</t>
  </si>
  <si>
    <t>L2_OFF_80</t>
  </si>
  <si>
    <t>HL Offset 90</t>
  </si>
  <si>
    <t>L2_OFF_90</t>
  </si>
  <si>
    <t>HL Offset 95</t>
  </si>
  <si>
    <t>L2_OFF_95</t>
  </si>
  <si>
    <t>HL Offset IO 80</t>
  </si>
  <si>
    <t>L2_OFF_IO_80</t>
  </si>
  <si>
    <t>HL Offset IO 90</t>
  </si>
  <si>
    <t>L2_OFF_IO_90</t>
  </si>
  <si>
    <t>HL Offset IO 95</t>
  </si>
  <si>
    <t>L2_OFF_IO_95</t>
  </si>
  <si>
    <t>HL Offset Fixed 1 Year</t>
  </si>
  <si>
    <t>L2_OFF_ F1</t>
  </si>
  <si>
    <t>HL Offset Fixed 1 Year IO</t>
  </si>
  <si>
    <t>L2_OFF_F1_IO</t>
  </si>
  <si>
    <t>HL Offset Fixed 2 Year</t>
  </si>
  <si>
    <t>L2_OFF_F2</t>
  </si>
  <si>
    <t>HL Offset Fixed 3 Year</t>
  </si>
  <si>
    <t>L2_OFF_F3</t>
  </si>
  <si>
    <t>HL Offset Fixed 5 Year</t>
  </si>
  <si>
    <t>L2_OFF_F5</t>
  </si>
  <si>
    <t xml:space="preserve">HL Offset Roll Rate </t>
  </si>
  <si>
    <t>L2_OFF_Roll</t>
  </si>
  <si>
    <t>INV Offset 80</t>
  </si>
  <si>
    <t>L2_OFF_INV80</t>
  </si>
  <si>
    <t>INV Offset 90</t>
  </si>
  <si>
    <t>L2_OFF_INV90</t>
  </si>
  <si>
    <t>INV Offset 80 IO</t>
  </si>
  <si>
    <t>L2_OFF_INV80_IO</t>
  </si>
  <si>
    <t>INV Offset 90 IO</t>
  </si>
  <si>
    <t>L2_OFF_INV90_IO</t>
  </si>
  <si>
    <t>INV Offset Fixed 1 Year</t>
  </si>
  <si>
    <t>L2_OFF_INVFI</t>
  </si>
  <si>
    <t>INV Offset Fixed 2 Year</t>
  </si>
  <si>
    <t>L2_OFF_INVF2</t>
  </si>
  <si>
    <t>INV Offset Fixed 3 Year</t>
  </si>
  <si>
    <t>L2_OFF_INVF3</t>
  </si>
  <si>
    <t>INV Offset Fixed 5 Year</t>
  </si>
  <si>
    <t>L2_OFF_INVF5</t>
  </si>
  <si>
    <t>INV Offset Fixed 1 Year IO</t>
  </si>
  <si>
    <t>L2_OFF_INVF1_IO</t>
  </si>
  <si>
    <t>INV Offset Fixed 2 Year IO</t>
  </si>
  <si>
    <t>L2_OFF_INVF2_IO</t>
  </si>
  <si>
    <t>INV Offset Fixed 3 Year IO</t>
  </si>
  <si>
    <t>L2_OFF_INVF3_IO</t>
  </si>
  <si>
    <t>INV Offset Fixed 5 Year IO</t>
  </si>
  <si>
    <t>L2_OFF_INVF5_IO</t>
  </si>
  <si>
    <t>INV Offset Roll Rate</t>
  </si>
  <si>
    <t>L2_OFF_INVRoll</t>
  </si>
  <si>
    <t>Update 2024-2025 income tax brackets, Medicare thresholds and HELP brackets</t>
  </si>
  <si>
    <t>CLM - Kellie Towerton</t>
  </si>
  <si>
    <t>Brooke Newlove</t>
  </si>
  <si>
    <t>Update 2024-2025 registration fees</t>
  </si>
  <si>
    <t>Interest rates updated to reflect changes effective the 15/08/2024 - increase across the board</t>
  </si>
  <si>
    <t>Version 1 -November 24</t>
  </si>
  <si>
    <t xml:space="preserve">School Education </t>
  </si>
  <si>
    <t>Updated DLA's, Titles, added construction and self-employed tab</t>
  </si>
  <si>
    <t>HEM updated to included Drop In Table received from Perpetual on 15/11/2024</t>
  </si>
  <si>
    <t>Rate Change applied, Public school fees renamed to school fees</t>
  </si>
  <si>
    <t>CTL - Teri Hawkins</t>
  </si>
  <si>
    <t>Rate change applied (reduction of all variable products), reduction of overdraft products, floor rate reduction, HEM update, Delegation in loan limit changes for personal loans</t>
  </si>
  <si>
    <t>Mariah Foy</t>
  </si>
  <si>
    <t>CTL</t>
  </si>
  <si>
    <t>Amended car loan interest rates - reduction as at 11 April</t>
  </si>
  <si>
    <t>HEM updated to included Drop In Table received from Perpetual on 15/05/2024</t>
  </si>
  <si>
    <t>Change ($) from previous Quarter</t>
  </si>
  <si>
    <t>Rate change applied (reduction in variable rate products).</t>
  </si>
  <si>
    <t>Annual change to Tax, Medicare Levey surcharge, HELP and registration fees</t>
  </si>
  <si>
    <t>Mortgage registration</t>
  </si>
  <si>
    <t>HELP Table 2025-26</t>
  </si>
  <si>
    <t>Diff $</t>
  </si>
  <si>
    <t>Tax Return</t>
  </si>
  <si>
    <t>NOA</t>
  </si>
  <si>
    <t>Tax Return (Employer)</t>
  </si>
  <si>
    <t>Supporting Documentation Check</t>
  </si>
  <si>
    <t>Income to be applied</t>
  </si>
  <si>
    <t xml:space="preserve">Enter % </t>
  </si>
  <si>
    <t>Distrubtion of Income</t>
  </si>
  <si>
    <t xml:space="preserve">Net Available Income </t>
  </si>
  <si>
    <t xml:space="preserve">Total Add Backs </t>
  </si>
  <si>
    <t>*Other Add backs</t>
  </si>
  <si>
    <t>Superannuation (In excess of compulsory)</t>
  </si>
  <si>
    <t>Allowable Add Backs</t>
  </si>
  <si>
    <t>Total Profit/Loss</t>
  </si>
  <si>
    <t>(minus non recurring income)</t>
  </si>
  <si>
    <t xml:space="preserve">Profit Before Tax </t>
  </si>
  <si>
    <t xml:space="preserve">Deductions </t>
  </si>
  <si>
    <t>Total Expenses</t>
  </si>
  <si>
    <t xml:space="preserve">Total Expenses </t>
  </si>
  <si>
    <t xml:space="preserve">Other Income </t>
  </si>
  <si>
    <t>Gross Income</t>
  </si>
  <si>
    <t xml:space="preserve">Tax Year Ending </t>
  </si>
  <si>
    <t xml:space="preserve">Last two year average </t>
  </si>
  <si>
    <t>Previous Year</t>
  </si>
  <si>
    <t>Current Year</t>
  </si>
  <si>
    <t>Self Employed Calculator</t>
  </si>
  <si>
    <t>Click on the location wizard link and cut and paste the results into the page</t>
  </si>
  <si>
    <t>Location Wizard | Find maximum loan amount | QBE LMI</t>
  </si>
  <si>
    <t>Namita Bansal</t>
  </si>
  <si>
    <t>All HEMs are expressed in June 2025 dollars; Data used is the 2015-16 Household Expenditure Survey (HES)</t>
  </si>
  <si>
    <t>(Poverty Lines: Australia, March Quarter, 2025)</t>
  </si>
  <si>
    <t>Rate reduction on variable and fixed rate home loan products, HEM update, update to prior year ending in salary table (worksheet), update sales and distribution staff</t>
  </si>
  <si>
    <t>Medicare Levy surcharge figures updated to reflect change for FY25, HELP brackets, 25-26 reg fees</t>
  </si>
  <si>
    <t>Front book rate reduction 0.10% &lt;80% LVR, rate reduction in New car loans 0.26%, Green Car loans 0.26% and any age car loans 0.10%</t>
  </si>
  <si>
    <t>Version 1 -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</si>
</sst>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quot;$&quot;#,##0"/>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_(* #,##0.00_);_(* \(#,##0.00\);_(* &quot;-&quot;??_);_(@_)"/>
    <numFmt numFmtId="166" formatCode="&quot;$&quot;#,##0"/>
    <numFmt numFmtId="167" formatCode="dd/mm/yy_)"/>
    <numFmt numFmtId="168" formatCode="&quot;$&quot;#,##0.00"/>
    <numFmt numFmtId="169" formatCode="_-&quot;$&quot;* #,##0_-;\-&quot;$&quot;* #,##0_-;_-&quot;$&quot;* &quot;-&quot;??_-;_-@_-"/>
    <numFmt numFmtId="170" formatCode="[$$-C09]#,##0"/>
    <numFmt numFmtId="171" formatCode="0.0%"/>
    <numFmt numFmtId="172" formatCode="[$-C09]dd\-mmm\-yy;@"/>
    <numFmt numFmtId="173" formatCode="[$$-C09]#,##0;\-[$$-C09]#,##0"/>
    <numFmt numFmtId="174" formatCode="_(&quot;$&quot;* #,##0_);_(&quot;$&quot;* \(#,##0\);_(&quot;$&quot;* &quot;-&quot;??_);_(@_)"/>
    <numFmt numFmtId="175" formatCode="#,##0_ ;\-#,##0\ "/>
    <numFmt numFmtId="176" formatCode="#,##0.00000_ ;\-#,##0.00000\ "/>
    <numFmt numFmtId="177" formatCode="0.0"/>
    <numFmt numFmtId="178" formatCode="0.0000"/>
    <numFmt numFmtId="179" formatCode="_-* #,##0_-;\-* #,##0_-;_-* &quot;-&quot;??_-;_-@_-"/>
    <numFmt numFmtId="180" formatCode="&quot;$&quot;#,##0.00;[Red]&quot;$&quot;#,##0.00"/>
    <numFmt numFmtId="181" formatCode="_-[$$-C09]* #,##0.00_-;\-[$$-C09]* #,##0.00_-;_-[$$-C09]* &quot;-&quot;??_-;_-@_-"/>
    <numFmt numFmtId="182" formatCode="[$-C09]dd\-mmmm\-yyyy;@"/>
  </numFmts>
  <fonts count="1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9"/>
      <name val="helv"/>
    </font>
    <font>
      <sz val="9"/>
      <name val="helv"/>
    </font>
    <font>
      <b/>
      <sz val="9"/>
      <color indexed="8"/>
      <name val="helv"/>
    </font>
    <font>
      <sz val="9"/>
      <color indexed="8"/>
      <name val="helv"/>
    </font>
    <font>
      <sz val="9"/>
      <name val="Arial"/>
      <family val="2"/>
    </font>
    <font>
      <sz val="8"/>
      <name val="Arial"/>
      <family val="2"/>
    </font>
    <font>
      <sz val="10"/>
      <name val="Calibri"/>
      <family val="2"/>
      <scheme val="minor"/>
    </font>
    <font>
      <b/>
      <sz val="10"/>
      <name val="Calibri"/>
      <family val="2"/>
      <scheme val="minor"/>
    </font>
    <font>
      <b/>
      <sz val="9"/>
      <color rgb="FFFF0000"/>
      <name val="helv"/>
    </font>
    <font>
      <sz val="10"/>
      <color rgb="FF666666"/>
      <name val="Calibri"/>
      <family val="2"/>
      <scheme val="minor"/>
    </font>
    <font>
      <b/>
      <sz val="11"/>
      <color theme="1"/>
      <name val="Calibri"/>
      <family val="2"/>
      <scheme val="minor"/>
    </font>
    <font>
      <b/>
      <sz val="22"/>
      <color theme="1"/>
      <name val="Calibri"/>
      <family val="2"/>
      <scheme val="minor"/>
    </font>
    <font>
      <b/>
      <sz val="10"/>
      <name val="Arial"/>
      <family val="2"/>
    </font>
    <font>
      <sz val="10"/>
      <color rgb="FFFF0000"/>
      <name val="Arial"/>
      <family val="2"/>
    </font>
    <font>
      <b/>
      <sz val="11"/>
      <name val="Times New Roman"/>
      <family val="1"/>
    </font>
    <font>
      <b/>
      <sz val="11"/>
      <color rgb="FF000000"/>
      <name val="Times New Roman"/>
      <family val="1"/>
    </font>
    <font>
      <sz val="11"/>
      <color rgb="FF000000"/>
      <name val="Times New Roman"/>
      <family val="1"/>
    </font>
    <font>
      <sz val="16"/>
      <name val="Arial"/>
      <family val="2"/>
    </font>
    <font>
      <b/>
      <sz val="8"/>
      <name val="Arial"/>
      <family val="2"/>
    </font>
    <font>
      <b/>
      <vertAlign val="superscript"/>
      <sz val="11"/>
      <name val="Times New Roman"/>
      <family val="1"/>
    </font>
    <font>
      <vertAlign val="superscript"/>
      <sz val="11"/>
      <color rgb="FF000000"/>
      <name val="Times New Roman"/>
      <family val="1"/>
    </font>
    <font>
      <i/>
      <sz val="11"/>
      <color rgb="FF000000"/>
      <name val="Times New Roman"/>
      <family val="1"/>
    </font>
    <font>
      <sz val="11"/>
      <name val="Times New Roman"/>
      <family val="1"/>
    </font>
    <font>
      <sz val="11"/>
      <color rgb="FF0000FF"/>
      <name val="Times New Roman"/>
      <family val="1"/>
    </font>
    <font>
      <b/>
      <sz val="10"/>
      <color theme="0"/>
      <name val="Helv"/>
    </font>
    <font>
      <sz val="10"/>
      <color theme="0"/>
      <name val="Arial"/>
      <family val="2"/>
    </font>
    <font>
      <sz val="9"/>
      <color indexed="81"/>
      <name val="Tahoma"/>
      <family val="2"/>
    </font>
    <font>
      <b/>
      <sz val="9"/>
      <color indexed="81"/>
      <name val="Tahoma"/>
      <family val="2"/>
    </font>
    <font>
      <sz val="9"/>
      <color rgb="FF666666"/>
      <name val="Arial"/>
      <family val="2"/>
    </font>
    <font>
      <sz val="10"/>
      <color rgb="FF666666"/>
      <name val="Arial"/>
      <family val="2"/>
    </font>
    <font>
      <sz val="13"/>
      <color rgb="FF002341"/>
      <name val="Arial"/>
      <family val="2"/>
    </font>
    <font>
      <sz val="10"/>
      <color rgb="FF000000"/>
      <name val="Calibri"/>
      <family val="2"/>
      <scheme val="minor"/>
    </font>
    <font>
      <b/>
      <sz val="10"/>
      <color rgb="FF000000"/>
      <name val="Calibri"/>
      <family val="2"/>
      <scheme val="minor"/>
    </font>
    <font>
      <b/>
      <sz val="11"/>
      <color theme="0"/>
      <name val="Calibri"/>
      <family val="2"/>
      <scheme val="minor"/>
    </font>
    <font>
      <sz val="11"/>
      <color theme="0"/>
      <name val="Calibri"/>
      <family val="2"/>
      <scheme val="minor"/>
    </font>
    <font>
      <b/>
      <sz val="9"/>
      <name val="Calibri"/>
      <family val="2"/>
      <scheme val="minor"/>
    </font>
    <font>
      <sz val="9"/>
      <name val="Calibri"/>
      <family val="2"/>
      <scheme val="minor"/>
    </font>
    <font>
      <i/>
      <sz val="10"/>
      <name val="Calibri"/>
      <family val="2"/>
      <scheme val="minor"/>
    </font>
    <font>
      <sz val="11"/>
      <name val="Calibri"/>
      <family val="2"/>
      <scheme val="minor"/>
    </font>
    <font>
      <b/>
      <sz val="9"/>
      <color theme="0"/>
      <name val="helv"/>
    </font>
    <font>
      <sz val="10"/>
      <color theme="0"/>
      <name val="Calibri"/>
      <family val="2"/>
      <scheme val="minor"/>
    </font>
    <font>
      <b/>
      <sz val="14"/>
      <color rgb="FF000000"/>
      <name val="Calibri"/>
      <family val="2"/>
      <scheme val="minor"/>
    </font>
    <font>
      <b/>
      <sz val="16"/>
      <color theme="0"/>
      <name val="Calibri"/>
      <family val="2"/>
      <scheme val="minor"/>
    </font>
    <font>
      <sz val="10"/>
      <color rgb="FF002341"/>
      <name val="Arial"/>
      <family val="2"/>
    </font>
    <font>
      <sz val="9"/>
      <color theme="0"/>
      <name val="helv"/>
    </font>
    <font>
      <sz val="9"/>
      <color indexed="9"/>
      <name val="Calibri"/>
      <family val="2"/>
      <scheme val="minor"/>
    </font>
    <font>
      <sz val="9"/>
      <color indexed="8"/>
      <name val="Calibri"/>
      <family val="2"/>
      <scheme val="minor"/>
    </font>
    <font>
      <sz val="9"/>
      <color indexed="9"/>
      <name val="Helv"/>
    </font>
    <font>
      <b/>
      <sz val="9"/>
      <color indexed="10"/>
      <name val="helv"/>
    </font>
    <font>
      <b/>
      <sz val="9"/>
      <color indexed="10"/>
      <name val="Calibri"/>
      <family val="2"/>
      <scheme val="minor"/>
    </font>
    <font>
      <sz val="9"/>
      <color indexed="10"/>
      <name val="Calibri"/>
      <family val="2"/>
      <scheme val="minor"/>
    </font>
    <font>
      <i/>
      <u/>
      <sz val="9"/>
      <name val="Calibri"/>
      <family val="2"/>
      <scheme val="minor"/>
    </font>
    <font>
      <i/>
      <sz val="9"/>
      <name val="Calibri"/>
      <family val="2"/>
      <scheme val="minor"/>
    </font>
    <font>
      <i/>
      <sz val="9"/>
      <color indexed="55"/>
      <name val="helv"/>
    </font>
    <font>
      <b/>
      <sz val="9"/>
      <name val="Arial"/>
      <family val="2"/>
    </font>
    <font>
      <sz val="9"/>
      <color theme="0"/>
      <name val="Calibri"/>
      <family val="2"/>
      <scheme val="minor"/>
    </font>
    <font>
      <u/>
      <sz val="10"/>
      <color theme="10"/>
      <name val="Arial"/>
      <family val="2"/>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1"/>
      <color rgb="FF9C6500"/>
      <name val="Calibri"/>
      <family val="2"/>
      <scheme val="minor"/>
    </font>
    <font>
      <b/>
      <sz val="10"/>
      <color rgb="FF075877"/>
      <name val="Helv"/>
    </font>
    <font>
      <sz val="9"/>
      <color rgb="FF075877"/>
      <name val="Helv"/>
    </font>
    <font>
      <b/>
      <sz val="9"/>
      <color rgb="FF075877"/>
      <name val="Helv"/>
    </font>
    <font>
      <b/>
      <sz val="7"/>
      <name val="helv"/>
    </font>
    <font>
      <u/>
      <sz val="10"/>
      <color theme="11"/>
      <name val="Arial"/>
      <family val="2"/>
    </font>
    <font>
      <sz val="9"/>
      <color theme="1"/>
      <name val="Helv"/>
    </font>
    <font>
      <b/>
      <sz val="9"/>
      <color rgb="FFFFFFFF"/>
      <name val="Helv"/>
    </font>
    <font>
      <b/>
      <sz val="9"/>
      <color theme="1"/>
      <name val="Helv"/>
    </font>
    <font>
      <u/>
      <sz val="9"/>
      <color theme="11"/>
      <name val="Helv"/>
    </font>
    <font>
      <i/>
      <sz val="9"/>
      <color theme="1"/>
      <name val="Helv"/>
    </font>
    <font>
      <sz val="9"/>
      <color rgb="FFFF0000"/>
      <name val="Helv"/>
    </font>
    <font>
      <u/>
      <sz val="9"/>
      <color theme="10"/>
      <name val="Helv"/>
    </font>
    <font>
      <b/>
      <sz val="8"/>
      <name val="helv"/>
    </font>
    <font>
      <sz val="6"/>
      <name val="helv"/>
    </font>
    <font>
      <sz val="8"/>
      <name val="Arial"/>
      <family val="2"/>
    </font>
    <font>
      <i/>
      <sz val="10"/>
      <name val="Arial"/>
      <family val="2"/>
    </font>
    <font>
      <sz val="9"/>
      <color indexed="81"/>
      <name val="Calibri"/>
      <family val="2"/>
      <scheme val="minor"/>
    </font>
    <font>
      <b/>
      <sz val="9"/>
      <color indexed="81"/>
      <name val="Calibri"/>
      <family val="2"/>
      <scheme val="minor"/>
    </font>
    <font>
      <b/>
      <sz val="10"/>
      <color indexed="81"/>
      <name val="Calibri"/>
      <family val="2"/>
      <scheme val="minor"/>
    </font>
    <font>
      <b/>
      <sz val="12"/>
      <name val="Calibri"/>
      <family val="2"/>
      <scheme val="minor"/>
    </font>
    <font>
      <sz val="12"/>
      <name val="Calibri"/>
      <family val="2"/>
      <scheme val="minor"/>
    </font>
    <font>
      <i/>
      <sz val="12"/>
      <name val="Calibri"/>
      <family val="2"/>
      <scheme val="minor"/>
    </font>
    <font>
      <b/>
      <sz val="14"/>
      <name val="Calibri"/>
      <family val="2"/>
      <scheme val="minor"/>
    </font>
    <font>
      <sz val="10"/>
      <color theme="1"/>
      <name val="Calibri"/>
      <family val="2"/>
      <scheme val="minor"/>
    </font>
    <font>
      <i/>
      <sz val="11"/>
      <name val="Times New Roman"/>
      <family val="1"/>
    </font>
    <font>
      <sz val="9"/>
      <color rgb="FF006100"/>
      <name val="Calibri"/>
      <family val="2"/>
      <scheme val="minor"/>
    </font>
    <font>
      <b/>
      <i/>
      <sz val="8"/>
      <color theme="1"/>
      <name val="Calibri"/>
      <family val="2"/>
      <scheme val="minor"/>
    </font>
    <font>
      <sz val="18"/>
      <color rgb="FFFF0000"/>
      <name val="Calibri"/>
      <family val="2"/>
      <scheme val="minor"/>
    </font>
    <font>
      <b/>
      <sz val="11"/>
      <color theme="8" tint="-0.249977111117893"/>
      <name val="Calibri"/>
      <family val="2"/>
      <scheme val="minor"/>
    </font>
    <font>
      <sz val="8"/>
      <color theme="1"/>
      <name val="Calibri"/>
      <family val="2"/>
      <scheme val="minor"/>
    </font>
    <font>
      <sz val="11"/>
      <color theme="8" tint="-0.249977111117893"/>
      <name val="Calibri"/>
      <family val="2"/>
      <scheme val="minor"/>
    </font>
    <font>
      <b/>
      <i/>
      <sz val="11"/>
      <color theme="1"/>
      <name val="Calibri"/>
      <family val="2"/>
      <scheme val="minor"/>
    </font>
    <font>
      <u/>
      <sz val="11"/>
      <color theme="8" tint="-0.249977111117893"/>
      <name val="Calibri"/>
      <family val="2"/>
      <scheme val="minor"/>
    </font>
    <font>
      <b/>
      <sz val="16"/>
      <color rgb="FFFFFFFF"/>
      <name val="Calibri"/>
      <family val="2"/>
      <scheme val="minor"/>
    </font>
    <font>
      <sz val="16"/>
      <color rgb="FF000000"/>
      <name val="Calibri"/>
      <family val="2"/>
      <scheme val="minor"/>
    </font>
    <font>
      <u/>
      <sz val="22"/>
      <color theme="3" tint="-0.249977111117893"/>
      <name val="Arial"/>
      <family val="2"/>
    </font>
    <font>
      <sz val="22"/>
      <color theme="3" tint="-0.249977111117893"/>
      <name val="Calibri"/>
      <family val="2"/>
      <scheme val="minor"/>
    </font>
    <font>
      <sz val="10"/>
      <color theme="3" tint="-0.249977111117893"/>
      <name val="Calibri"/>
      <family val="2"/>
      <scheme val="minor"/>
    </font>
  </fonts>
  <fills count="48">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075877"/>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075877"/>
        <bgColor rgb="FF000000"/>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6" tint="0.79998168889431442"/>
        <bgColor indexed="64"/>
      </patternFill>
    </fill>
    <fill>
      <patternFill patternType="solid">
        <fgColor rgb="FFCCFFFF"/>
        <bgColor indexed="64"/>
      </patternFill>
    </fill>
  </fills>
  <borders count="73">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thin">
        <color theme="0"/>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style="thin">
        <color indexed="64"/>
      </right>
      <top/>
      <bottom/>
      <diagonal/>
    </border>
  </borders>
  <cellStyleXfs count="4167">
    <xf numFmtId="0" fontId="0" fillId="0" borderId="0"/>
    <xf numFmtId="43"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66" fillId="0" borderId="0" applyNumberFormat="0" applyFill="0" applyBorder="0" applyAlignment="0" applyProtection="0"/>
    <xf numFmtId="0" fontId="68" fillId="0" borderId="56" applyNumberFormat="0" applyFill="0" applyAlignment="0" applyProtection="0"/>
    <xf numFmtId="0" fontId="69" fillId="0" borderId="57" applyNumberFormat="0" applyFill="0" applyAlignment="0" applyProtection="0"/>
    <xf numFmtId="0" fontId="70" fillId="0" borderId="58" applyNumberFormat="0" applyFill="0" applyAlignment="0" applyProtection="0"/>
    <xf numFmtId="0" fontId="70" fillId="0" borderId="0" applyNumberFormat="0" applyFill="0" applyBorder="0" applyAlignment="0" applyProtection="0"/>
    <xf numFmtId="0" fontId="71" fillId="8" borderId="0" applyNumberFormat="0" applyBorder="0" applyAlignment="0" applyProtection="0"/>
    <xf numFmtId="0" fontId="72" fillId="9" borderId="0" applyNumberFormat="0" applyBorder="0" applyAlignment="0" applyProtection="0"/>
    <xf numFmtId="0" fontId="73" fillId="11" borderId="59" applyNumberFormat="0" applyAlignment="0" applyProtection="0"/>
    <xf numFmtId="0" fontId="74" fillId="12" borderId="60" applyNumberFormat="0" applyAlignment="0" applyProtection="0"/>
    <xf numFmtId="0" fontId="75" fillId="12" borderId="59" applyNumberFormat="0" applyAlignment="0" applyProtection="0"/>
    <xf numFmtId="0" fontId="76" fillId="0" borderId="61" applyNumberFormat="0" applyFill="0" applyAlignment="0" applyProtection="0"/>
    <xf numFmtId="0" fontId="43" fillId="13" borderId="62"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20" fillId="0" borderId="64" applyNumberFormat="0" applyFill="0" applyAlignment="0" applyProtection="0"/>
    <xf numFmtId="0" fontId="44"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44"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44"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44"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44"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44"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8" fillId="0" borderId="0" applyFont="0" applyFill="0" applyBorder="0" applyAlignment="0" applyProtection="0"/>
    <xf numFmtId="0" fontId="79" fillId="0" borderId="0" applyNumberFormat="0" applyFill="0" applyBorder="0" applyAlignment="0" applyProtection="0"/>
    <xf numFmtId="0" fontId="80" fillId="10" borderId="0" applyNumberFormat="0" applyBorder="0" applyAlignment="0" applyProtection="0"/>
    <xf numFmtId="0" fontId="44" fillId="18" borderId="0" applyNumberFormat="0" applyBorder="0" applyAlignment="0" applyProtection="0"/>
    <xf numFmtId="0" fontId="44" fillId="22" borderId="0" applyNumberFormat="0" applyBorder="0" applyAlignment="0" applyProtection="0"/>
    <xf numFmtId="0" fontId="44" fillId="26" borderId="0" applyNumberFormat="0" applyBorder="0" applyAlignment="0" applyProtection="0"/>
    <xf numFmtId="0" fontId="44" fillId="30" borderId="0" applyNumberFormat="0" applyBorder="0" applyAlignment="0" applyProtection="0"/>
    <xf numFmtId="0" fontId="44" fillId="34" borderId="0" applyNumberFormat="0" applyBorder="0" applyAlignment="0" applyProtection="0"/>
    <xf numFmtId="0" fontId="44" fillId="38" borderId="0" applyNumberFormat="0" applyBorder="0" applyAlignment="0" applyProtection="0"/>
    <xf numFmtId="0" fontId="8" fillId="0" borderId="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8"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8"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8"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8"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14" borderId="63"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4" fontId="8" fillId="0" borderId="0" applyFont="0" applyFill="0" applyBorder="0" applyAlignment="0" applyProtection="0"/>
    <xf numFmtId="0" fontId="85" fillId="0" borderId="0" applyNumberFormat="0" applyFill="0" applyBorder="0" applyAlignment="0" applyProtection="0"/>
    <xf numFmtId="44" fontId="8" fillId="0" borderId="0" applyFont="0" applyFill="0" applyBorder="0" applyAlignment="0" applyProtection="0"/>
    <xf numFmtId="0" fontId="5" fillId="24" borderId="0" applyNumberFormat="0" applyBorder="0" applyAlignment="0" applyProtection="0"/>
    <xf numFmtId="44" fontId="8"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8"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8"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8"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8"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8"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8"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8"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8"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8"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8"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44" fontId="8"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44" fontId="8"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44" fontId="8"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44" fontId="8"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14" borderId="63"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xf numFmtId="0" fontId="1" fillId="14" borderId="63" applyNumberFormat="0" applyFont="0" applyAlignment="0" applyProtection="0"/>
    <xf numFmtId="0" fontId="1" fillId="0" borderId="0"/>
    <xf numFmtId="0" fontId="1" fillId="14" borderId="63" applyNumberFormat="0" applyFont="0" applyAlignment="0" applyProtection="0"/>
  </cellStyleXfs>
  <cellXfs count="941">
    <xf numFmtId="0" fontId="0" fillId="0" borderId="0" xfId="0"/>
    <xf numFmtId="9" fontId="13" fillId="2" borderId="6" xfId="6" applyFont="1" applyFill="1" applyBorder="1" applyAlignment="1" applyProtection="1">
      <alignment horizontal="center"/>
      <protection hidden="1"/>
    </xf>
    <xf numFmtId="170" fontId="10" fillId="0" borderId="7" xfId="4" applyNumberFormat="1" applyFont="1" applyBorder="1" applyAlignment="1" applyProtection="1">
      <alignment horizontal="center"/>
      <protection hidden="1"/>
    </xf>
    <xf numFmtId="0" fontId="11" fillId="0" borderId="8" xfId="4" applyFont="1" applyBorder="1" applyAlignment="1" applyProtection="1">
      <alignment horizontal="left"/>
      <protection hidden="1"/>
    </xf>
    <xf numFmtId="0" fontId="10" fillId="0" borderId="6" xfId="4" applyFont="1" applyBorder="1" applyAlignment="1" applyProtection="1">
      <alignment horizontal="center"/>
      <protection hidden="1"/>
    </xf>
    <xf numFmtId="170" fontId="12" fillId="0" borderId="6" xfId="3" applyNumberFormat="1" applyFont="1" applyBorder="1" applyAlignment="1" applyProtection="1">
      <alignment horizontal="center"/>
      <protection hidden="1"/>
    </xf>
    <xf numFmtId="170" fontId="13" fillId="0" borderId="6" xfId="3" applyNumberFormat="1" applyFont="1" applyBorder="1" applyAlignment="1" applyProtection="1">
      <alignment horizontal="center"/>
      <protection hidden="1"/>
    </xf>
    <xf numFmtId="9" fontId="11" fillId="0" borderId="6" xfId="6" applyFont="1" applyBorder="1" applyAlignment="1" applyProtection="1">
      <alignment horizontal="center"/>
      <protection hidden="1"/>
    </xf>
    <xf numFmtId="0" fontId="11" fillId="0" borderId="9" xfId="4" applyFont="1" applyBorder="1" applyAlignment="1" applyProtection="1">
      <alignment horizontal="left"/>
      <protection hidden="1"/>
    </xf>
    <xf numFmtId="0" fontId="10" fillId="0" borderId="13" xfId="4" applyFont="1" applyBorder="1" applyAlignment="1" applyProtection="1">
      <alignment horizontal="center" vertical="center" wrapText="1"/>
      <protection hidden="1"/>
    </xf>
    <xf numFmtId="0" fontId="11" fillId="0" borderId="13" xfId="4" applyFont="1" applyBorder="1" applyProtection="1">
      <protection hidden="1"/>
    </xf>
    <xf numFmtId="0" fontId="11" fillId="0" borderId="13" xfId="4" applyFont="1" applyBorder="1" applyAlignment="1" applyProtection="1">
      <alignment horizontal="left"/>
      <protection hidden="1"/>
    </xf>
    <xf numFmtId="0" fontId="11" fillId="0" borderId="1" xfId="4" applyFont="1" applyBorder="1" applyAlignment="1" applyProtection="1">
      <alignment horizontal="left"/>
      <protection hidden="1"/>
    </xf>
    <xf numFmtId="170" fontId="10" fillId="0" borderId="6" xfId="4" applyNumberFormat="1" applyFont="1" applyBorder="1" applyAlignment="1" applyProtection="1">
      <alignment horizontal="center"/>
      <protection hidden="1"/>
    </xf>
    <xf numFmtId="170" fontId="10" fillId="0" borderId="6" xfId="4" quotePrefix="1" applyNumberFormat="1" applyFont="1" applyBorder="1" applyAlignment="1" applyProtection="1">
      <alignment horizontal="center"/>
      <protection hidden="1"/>
    </xf>
    <xf numFmtId="170" fontId="10" fillId="0" borderId="6" xfId="3" applyNumberFormat="1" applyFont="1" applyBorder="1" applyAlignment="1" applyProtection="1">
      <alignment horizontal="center"/>
      <protection hidden="1"/>
    </xf>
    <xf numFmtId="0" fontId="11" fillId="0" borderId="24" xfId="4" applyFont="1" applyBorder="1" applyProtection="1">
      <protection hidden="1"/>
    </xf>
    <xf numFmtId="170" fontId="10" fillId="0" borderId="14" xfId="3" applyNumberFormat="1" applyFont="1" applyBorder="1" applyAlignment="1" applyProtection="1">
      <alignment horizontal="center"/>
      <protection hidden="1"/>
    </xf>
    <xf numFmtId="0" fontId="16" fillId="0" borderId="0" xfId="4" applyFont="1" applyAlignment="1" applyProtection="1">
      <alignment horizontal="left"/>
      <protection hidden="1"/>
    </xf>
    <xf numFmtId="0" fontId="16" fillId="0" borderId="0" xfId="4" applyFont="1" applyProtection="1">
      <protection hidden="1"/>
    </xf>
    <xf numFmtId="0" fontId="17" fillId="0" borderId="0" xfId="4" applyFont="1" applyAlignment="1" applyProtection="1">
      <alignment horizontal="left"/>
      <protection hidden="1"/>
    </xf>
    <xf numFmtId="0" fontId="16" fillId="0" borderId="0" xfId="5" applyFont="1" applyAlignment="1" applyProtection="1">
      <alignment horizontal="left"/>
      <protection hidden="1"/>
    </xf>
    <xf numFmtId="0" fontId="16" fillId="0" borderId="0" xfId="5" applyFont="1" applyProtection="1">
      <protection hidden="1"/>
    </xf>
    <xf numFmtId="0" fontId="17" fillId="0" borderId="0" xfId="5" applyFont="1" applyAlignment="1" applyProtection="1">
      <alignment horizontal="left"/>
      <protection hidden="1"/>
    </xf>
    <xf numFmtId="9" fontId="16" fillId="0" borderId="0" xfId="4" applyNumberFormat="1" applyFont="1" applyProtection="1">
      <protection hidden="1"/>
    </xf>
    <xf numFmtId="49" fontId="16" fillId="0" borderId="0" xfId="4" applyNumberFormat="1" applyFont="1" applyAlignment="1" applyProtection="1">
      <alignment horizontal="left"/>
      <protection hidden="1"/>
    </xf>
    <xf numFmtId="0" fontId="17" fillId="0" borderId="0" xfId="4" applyFont="1" applyAlignment="1" applyProtection="1">
      <alignment horizontal="center"/>
      <protection hidden="1"/>
    </xf>
    <xf numFmtId="0" fontId="17" fillId="0" borderId="0" xfId="4" applyFont="1" applyProtection="1">
      <protection hidden="1"/>
    </xf>
    <xf numFmtId="44" fontId="16" fillId="0" borderId="0" xfId="3" applyFont="1" applyAlignment="1" applyProtection="1">
      <alignment horizontal="left"/>
      <protection hidden="1"/>
    </xf>
    <xf numFmtId="44" fontId="17" fillId="0" borderId="0" xfId="3" applyFont="1" applyAlignment="1" applyProtection="1">
      <alignment horizontal="left"/>
      <protection hidden="1"/>
    </xf>
    <xf numFmtId="9" fontId="16" fillId="0" borderId="0" xfId="4" applyNumberFormat="1" applyFont="1" applyAlignment="1" applyProtection="1">
      <alignment horizontal="center"/>
      <protection hidden="1"/>
    </xf>
    <xf numFmtId="169" fontId="16" fillId="0" borderId="0" xfId="4" applyNumberFormat="1" applyFont="1" applyProtection="1">
      <protection hidden="1"/>
    </xf>
    <xf numFmtId="10" fontId="16" fillId="0" borderId="0" xfId="6" applyNumberFormat="1" applyFont="1" applyProtection="1">
      <protection hidden="1"/>
    </xf>
    <xf numFmtId="173" fontId="18" fillId="0" borderId="0" xfId="3" applyNumberFormat="1" applyFont="1" applyProtection="1">
      <protection hidden="1"/>
    </xf>
    <xf numFmtId="0" fontId="17" fillId="0" borderId="0" xfId="0" applyFont="1" applyAlignment="1" applyProtection="1">
      <alignment horizontal="left"/>
      <protection hidden="1"/>
    </xf>
    <xf numFmtId="0" fontId="16" fillId="0" borderId="0" xfId="0" applyFont="1" applyProtection="1">
      <protection hidden="1"/>
    </xf>
    <xf numFmtId="10" fontId="16" fillId="0" borderId="0" xfId="0" applyNumberFormat="1" applyFont="1" applyProtection="1">
      <protection hidden="1"/>
    </xf>
    <xf numFmtId="0" fontId="16" fillId="0" borderId="0" xfId="0" applyFont="1" applyAlignment="1" applyProtection="1">
      <alignment horizontal="left"/>
      <protection hidden="1"/>
    </xf>
    <xf numFmtId="169" fontId="16" fillId="0" borderId="0" xfId="3" applyNumberFormat="1" applyFont="1" applyProtection="1">
      <protection hidden="1"/>
    </xf>
    <xf numFmtId="169" fontId="16" fillId="0" borderId="0" xfId="0" applyNumberFormat="1" applyFont="1" applyProtection="1">
      <protection hidden="1"/>
    </xf>
    <xf numFmtId="0" fontId="11" fillId="0" borderId="8" xfId="4" applyFont="1" applyBorder="1" applyProtection="1">
      <protection hidden="1"/>
    </xf>
    <xf numFmtId="0" fontId="16" fillId="0" borderId="0" xfId="0" applyFont="1"/>
    <xf numFmtId="0" fontId="19" fillId="0" borderId="0" xfId="0" applyFont="1" applyAlignment="1">
      <alignment horizontal="left" vertical="center" indent="1"/>
    </xf>
    <xf numFmtId="0" fontId="19" fillId="0" borderId="0" xfId="0" applyFont="1" applyAlignment="1">
      <alignment horizontal="left" vertical="center" indent="2"/>
    </xf>
    <xf numFmtId="166" fontId="16" fillId="0" borderId="0" xfId="0" applyNumberFormat="1" applyFont="1" applyAlignment="1" applyProtection="1">
      <alignment horizontal="right"/>
      <protection hidden="1"/>
    </xf>
    <xf numFmtId="166" fontId="16" fillId="0" borderId="0" xfId="0" applyNumberFormat="1" applyFont="1" applyProtection="1">
      <protection hidden="1"/>
    </xf>
    <xf numFmtId="169" fontId="0" fillId="0" borderId="0" xfId="3" applyNumberFormat="1" applyFont="1"/>
    <xf numFmtId="169" fontId="25" fillId="0" borderId="0" xfId="3" applyNumberFormat="1" applyFont="1" applyAlignment="1">
      <alignment horizontal="center"/>
    </xf>
    <xf numFmtId="175" fontId="22" fillId="0" borderId="0" xfId="3" applyNumberFormat="1" applyFont="1"/>
    <xf numFmtId="1" fontId="26" fillId="0" borderId="0" xfId="0" applyNumberFormat="1" applyFont="1" applyAlignment="1">
      <alignment horizontal="center"/>
    </xf>
    <xf numFmtId="176" fontId="25" fillId="0" borderId="0" xfId="3" applyNumberFormat="1" applyFont="1" applyAlignment="1">
      <alignment horizontal="center"/>
    </xf>
    <xf numFmtId="2" fontId="26" fillId="0" borderId="0" xfId="0" applyNumberFormat="1" applyFont="1" applyAlignment="1">
      <alignment horizontal="center"/>
    </xf>
    <xf numFmtId="6" fontId="26" fillId="0" borderId="0" xfId="0" applyNumberFormat="1" applyFont="1" applyAlignment="1">
      <alignment horizontal="center"/>
    </xf>
    <xf numFmtId="0" fontId="27" fillId="0" borderId="0" xfId="0" applyFont="1" applyAlignment="1">
      <alignment horizontal="left"/>
    </xf>
    <xf numFmtId="0" fontId="15" fillId="0" borderId="0" xfId="0" applyFont="1" applyAlignment="1">
      <alignment horizontal="left"/>
    </xf>
    <xf numFmtId="0" fontId="28" fillId="0" borderId="0" xfId="0" applyFont="1" applyAlignment="1">
      <alignment horizontal="left"/>
    </xf>
    <xf numFmtId="0" fontId="26" fillId="0" borderId="26" xfId="0" applyFont="1" applyBorder="1" applyAlignment="1">
      <alignment horizontal="right"/>
    </xf>
    <xf numFmtId="0" fontId="26" fillId="0" borderId="0" xfId="0" applyFont="1" applyAlignment="1">
      <alignment horizontal="right"/>
    </xf>
    <xf numFmtId="0" fontId="31" fillId="0" borderId="26" xfId="0" applyFont="1" applyBorder="1"/>
    <xf numFmtId="0" fontId="31" fillId="0" borderId="26" xfId="0" applyFont="1" applyBorder="1" applyAlignment="1">
      <alignment horizontal="right"/>
    </xf>
    <xf numFmtId="0" fontId="32" fillId="0" borderId="0" xfId="0" applyFont="1"/>
    <xf numFmtId="0" fontId="26" fillId="0" borderId="0" xfId="0" applyFont="1" applyAlignment="1">
      <alignment horizontal="left"/>
    </xf>
    <xf numFmtId="6" fontId="33" fillId="0" borderId="0" xfId="0" applyNumberFormat="1" applyFont="1" applyAlignment="1">
      <alignment horizontal="right"/>
    </xf>
    <xf numFmtId="177" fontId="32" fillId="0" borderId="0" xfId="0" applyNumberFormat="1" applyFont="1"/>
    <xf numFmtId="2" fontId="32" fillId="0" borderId="0" xfId="0" applyNumberFormat="1" applyFont="1"/>
    <xf numFmtId="178" fontId="32" fillId="0" borderId="0" xfId="0" applyNumberFormat="1" applyFont="1"/>
    <xf numFmtId="169" fontId="32" fillId="0" borderId="0" xfId="3" applyNumberFormat="1" applyFont="1"/>
    <xf numFmtId="0" fontId="0" fillId="0" borderId="0" xfId="0" applyAlignment="1">
      <alignment vertical="center"/>
    </xf>
    <xf numFmtId="166" fontId="24" fillId="5" borderId="0" xfId="0" applyNumberFormat="1" applyFont="1" applyFill="1" applyAlignment="1">
      <alignment horizontal="left" vertical="top"/>
    </xf>
    <xf numFmtId="170" fontId="10" fillId="0" borderId="15" xfId="3" applyNumberFormat="1" applyFont="1" applyBorder="1" applyAlignment="1" applyProtection="1">
      <alignment horizontal="center"/>
      <protection hidden="1"/>
    </xf>
    <xf numFmtId="0" fontId="34" fillId="6" borderId="21" xfId="4" applyFont="1" applyFill="1" applyBorder="1" applyProtection="1">
      <protection hidden="1"/>
    </xf>
    <xf numFmtId="172" fontId="34" fillId="6" borderId="22" xfId="4" applyNumberFormat="1" applyFont="1" applyFill="1" applyBorder="1" applyAlignment="1" applyProtection="1">
      <alignment horizontal="center"/>
      <protection hidden="1"/>
    </xf>
    <xf numFmtId="1" fontId="10" fillId="7" borderId="23" xfId="3" applyNumberFormat="1" applyFont="1" applyFill="1" applyBorder="1" applyAlignment="1" applyProtection="1">
      <alignment horizontal="center"/>
      <protection locked="0"/>
    </xf>
    <xf numFmtId="1" fontId="10" fillId="7" borderId="23" xfId="3" applyNumberFormat="1" applyFont="1" applyFill="1" applyBorder="1" applyProtection="1">
      <protection locked="0"/>
    </xf>
    <xf numFmtId="173" fontId="10" fillId="7" borderId="2" xfId="3" applyNumberFormat="1" applyFont="1" applyFill="1" applyBorder="1" applyAlignment="1" applyProtection="1">
      <alignment horizontal="center"/>
      <protection locked="0"/>
    </xf>
    <xf numFmtId="1" fontId="12" fillId="7" borderId="6" xfId="4" applyNumberFormat="1" applyFont="1" applyFill="1" applyBorder="1" applyAlignment="1" applyProtection="1">
      <alignment horizontal="center"/>
      <protection locked="0"/>
    </xf>
    <xf numFmtId="9" fontId="13" fillId="7" borderId="6" xfId="6" applyFont="1" applyFill="1" applyBorder="1" applyAlignment="1" applyProtection="1">
      <alignment horizontal="center"/>
      <protection locked="0"/>
    </xf>
    <xf numFmtId="9" fontId="13" fillId="7" borderId="11" xfId="6" applyFont="1" applyFill="1" applyBorder="1" applyAlignment="1" applyProtection="1">
      <alignment horizontal="center"/>
      <protection locked="0"/>
    </xf>
    <xf numFmtId="170" fontId="13" fillId="7" borderId="6" xfId="3" applyNumberFormat="1" applyFont="1" applyFill="1" applyBorder="1" applyAlignment="1" applyProtection="1">
      <alignment horizontal="center"/>
      <protection locked="0"/>
    </xf>
    <xf numFmtId="1" fontId="11" fillId="7" borderId="6" xfId="4" applyNumberFormat="1" applyFont="1" applyFill="1" applyBorder="1" applyAlignment="1" applyProtection="1">
      <alignment horizontal="center"/>
      <protection locked="0"/>
    </xf>
    <xf numFmtId="10" fontId="11" fillId="7" borderId="6" xfId="6" applyNumberFormat="1" applyFont="1" applyFill="1" applyBorder="1" applyAlignment="1" applyProtection="1">
      <alignment horizontal="center"/>
      <protection locked="0"/>
    </xf>
    <xf numFmtId="0" fontId="11" fillId="7" borderId="6" xfId="4" applyFont="1" applyFill="1" applyBorder="1" applyAlignment="1" applyProtection="1">
      <alignment horizontal="center"/>
      <protection locked="0"/>
    </xf>
    <xf numFmtId="170" fontId="11" fillId="7" borderId="10" xfId="3" applyNumberFormat="1" applyFont="1" applyFill="1" applyBorder="1" applyAlignment="1" applyProtection="1">
      <alignment horizontal="center"/>
      <protection locked="0"/>
    </xf>
    <xf numFmtId="170" fontId="10" fillId="7" borderId="2" xfId="4" applyNumberFormat="1" applyFont="1" applyFill="1" applyBorder="1" applyAlignment="1" applyProtection="1">
      <alignment horizontal="center"/>
      <protection locked="0"/>
    </xf>
    <xf numFmtId="166" fontId="16" fillId="0" borderId="0" xfId="4" quotePrefix="1" applyNumberFormat="1" applyFont="1" applyAlignment="1" applyProtection="1">
      <alignment horizontal="left"/>
      <protection hidden="1"/>
    </xf>
    <xf numFmtId="169" fontId="16" fillId="0" borderId="0" xfId="3" applyNumberFormat="1" applyFont="1"/>
    <xf numFmtId="49" fontId="0" fillId="0" borderId="0" xfId="3" applyNumberFormat="1" applyFont="1"/>
    <xf numFmtId="1" fontId="10" fillId="7" borderId="6" xfId="4" applyNumberFormat="1" applyFont="1" applyFill="1" applyBorder="1" applyAlignment="1" applyProtection="1">
      <alignment horizontal="center"/>
      <protection locked="0"/>
    </xf>
    <xf numFmtId="0" fontId="13" fillId="7" borderId="8" xfId="4" applyFont="1" applyFill="1" applyBorder="1" applyAlignment="1" applyProtection="1">
      <alignment horizontal="left"/>
      <protection locked="0"/>
    </xf>
    <xf numFmtId="9" fontId="10" fillId="4" borderId="1" xfId="4" applyNumberFormat="1" applyFont="1" applyFill="1" applyBorder="1" applyAlignment="1" applyProtection="1">
      <alignment horizontal="center"/>
      <protection hidden="1"/>
    </xf>
    <xf numFmtId="168" fontId="16" fillId="0" borderId="0" xfId="0" applyNumberFormat="1" applyFont="1" applyAlignment="1" applyProtection="1">
      <alignment horizontal="right"/>
      <protection hidden="1"/>
    </xf>
    <xf numFmtId="168" fontId="16" fillId="0" borderId="0" xfId="4" applyNumberFormat="1" applyFont="1" applyAlignment="1" applyProtection="1">
      <alignment horizontal="right"/>
      <protection hidden="1"/>
    </xf>
    <xf numFmtId="168" fontId="16" fillId="0" borderId="0" xfId="0" applyNumberFormat="1" applyFont="1" applyProtection="1">
      <protection hidden="1"/>
    </xf>
    <xf numFmtId="44" fontId="13" fillId="0" borderId="17" xfId="3" applyFont="1" applyBorder="1" applyProtection="1">
      <protection hidden="1"/>
    </xf>
    <xf numFmtId="168" fontId="0" fillId="0" borderId="0" xfId="0" applyNumberFormat="1"/>
    <xf numFmtId="9" fontId="13" fillId="4" borderId="6" xfId="6" applyFont="1" applyFill="1" applyBorder="1" applyAlignment="1" applyProtection="1">
      <alignment horizontal="center"/>
      <protection hidden="1"/>
    </xf>
    <xf numFmtId="0" fontId="11" fillId="4" borderId="6" xfId="4" applyFont="1" applyFill="1" applyBorder="1" applyAlignment="1" applyProtection="1">
      <alignment horizontal="center"/>
      <protection hidden="1"/>
    </xf>
    <xf numFmtId="0" fontId="11" fillId="4" borderId="2" xfId="4" applyFont="1" applyFill="1" applyBorder="1" applyAlignment="1" applyProtection="1">
      <alignment horizontal="center"/>
      <protection hidden="1"/>
    </xf>
    <xf numFmtId="9" fontId="11" fillId="4" borderId="10" xfId="6" applyFont="1" applyFill="1" applyBorder="1" applyAlignment="1" applyProtection="1">
      <alignment horizontal="center"/>
      <protection hidden="1"/>
    </xf>
    <xf numFmtId="0" fontId="11" fillId="4" borderId="14" xfId="4" applyFont="1" applyFill="1" applyBorder="1" applyAlignment="1" applyProtection="1">
      <alignment horizontal="center"/>
      <protection hidden="1"/>
    </xf>
    <xf numFmtId="0" fontId="38" fillId="0" borderId="0" xfId="0" applyFont="1" applyAlignment="1">
      <alignment horizontal="left" vertical="center" wrapText="1"/>
    </xf>
    <xf numFmtId="0" fontId="38" fillId="0" borderId="0" xfId="0" applyFont="1" applyAlignment="1">
      <alignment vertical="center" wrapText="1"/>
    </xf>
    <xf numFmtId="0" fontId="38" fillId="0" borderId="0" xfId="0" applyFont="1" applyAlignment="1">
      <alignment vertical="center"/>
    </xf>
    <xf numFmtId="0" fontId="39" fillId="0" borderId="0" xfId="0" applyFont="1" applyAlignment="1">
      <alignment horizontal="left" vertical="center" wrapText="1"/>
    </xf>
    <xf numFmtId="0" fontId="39" fillId="0" borderId="0" xfId="0" applyFont="1" applyAlignment="1">
      <alignment vertical="center" wrapText="1"/>
    </xf>
    <xf numFmtId="0" fontId="39" fillId="0" borderId="0" xfId="0" applyFont="1" applyAlignment="1">
      <alignment vertical="center"/>
    </xf>
    <xf numFmtId="0" fontId="40" fillId="0" borderId="0" xfId="0" applyFont="1" applyAlignment="1">
      <alignment vertical="center"/>
    </xf>
    <xf numFmtId="10" fontId="16" fillId="0" borderId="0" xfId="0" applyNumberFormat="1" applyFont="1" applyAlignment="1" applyProtection="1">
      <alignment horizontal="center"/>
      <protection hidden="1"/>
    </xf>
    <xf numFmtId="0" fontId="17" fillId="0" borderId="0" xfId="0" applyFont="1" applyProtection="1">
      <protection hidden="1"/>
    </xf>
    <xf numFmtId="166" fontId="17" fillId="0" borderId="0" xfId="0" applyNumberFormat="1" applyFont="1" applyProtection="1">
      <protection hidden="1"/>
    </xf>
    <xf numFmtId="0" fontId="17" fillId="0" borderId="0" xfId="0" applyFont="1" applyAlignment="1" applyProtection="1">
      <alignment horizontal="center"/>
      <protection hidden="1"/>
    </xf>
    <xf numFmtId="0" fontId="41" fillId="0" borderId="0" xfId="0" applyFont="1" applyAlignment="1">
      <alignment horizontal="left" vertical="top"/>
    </xf>
    <xf numFmtId="0" fontId="16" fillId="0" borderId="0" xfId="0" applyFont="1" applyAlignment="1">
      <alignment horizontal="center"/>
    </xf>
    <xf numFmtId="169" fontId="0" fillId="0" borderId="0" xfId="0" applyNumberFormat="1"/>
    <xf numFmtId="44" fontId="16" fillId="0" borderId="0" xfId="3" applyFont="1" applyProtection="1">
      <protection hidden="1"/>
    </xf>
    <xf numFmtId="170" fontId="46" fillId="0" borderId="0" xfId="0" applyNumberFormat="1" applyFont="1" applyAlignment="1" applyProtection="1">
      <alignment horizontal="center"/>
      <protection hidden="1"/>
    </xf>
    <xf numFmtId="0" fontId="46" fillId="0" borderId="0" xfId="4" applyFont="1" applyProtection="1">
      <protection hidden="1"/>
    </xf>
    <xf numFmtId="1" fontId="16" fillId="0" borderId="0" xfId="0" applyNumberFormat="1" applyFont="1" applyProtection="1">
      <protection hidden="1"/>
    </xf>
    <xf numFmtId="0" fontId="20" fillId="0" borderId="0" xfId="0" applyFont="1" applyAlignment="1">
      <alignment horizontal="left"/>
    </xf>
    <xf numFmtId="0" fontId="16" fillId="0" borderId="0" xfId="0" applyFont="1" applyAlignment="1">
      <alignment horizontal="left"/>
    </xf>
    <xf numFmtId="166" fontId="16" fillId="0" borderId="0" xfId="0" applyNumberFormat="1" applyFont="1"/>
    <xf numFmtId="0" fontId="17" fillId="3" borderId="21" xfId="0" applyFont="1" applyFill="1" applyBorder="1"/>
    <xf numFmtId="0" fontId="16" fillId="3" borderId="22" xfId="0" applyFont="1" applyFill="1" applyBorder="1"/>
    <xf numFmtId="0" fontId="16" fillId="3" borderId="3" xfId="0" applyFont="1" applyFill="1" applyBorder="1" applyAlignment="1" applyProtection="1">
      <alignment horizontal="left"/>
      <protection hidden="1"/>
    </xf>
    <xf numFmtId="0" fontId="16" fillId="3" borderId="5" xfId="0" applyFont="1" applyFill="1" applyBorder="1" applyAlignment="1" applyProtection="1">
      <alignment horizontal="center"/>
      <protection hidden="1"/>
    </xf>
    <xf numFmtId="0" fontId="16" fillId="3" borderId="48" xfId="0" applyFont="1" applyFill="1" applyBorder="1" applyAlignment="1" applyProtection="1">
      <alignment horizontal="left"/>
      <protection hidden="1"/>
    </xf>
    <xf numFmtId="0" fontId="16" fillId="3" borderId="27" xfId="0" applyFont="1" applyFill="1" applyBorder="1" applyAlignment="1" applyProtection="1">
      <alignment horizontal="center"/>
      <protection hidden="1"/>
    </xf>
    <xf numFmtId="164" fontId="12" fillId="7" borderId="6" xfId="4" applyNumberFormat="1" applyFont="1" applyFill="1" applyBorder="1" applyAlignment="1" applyProtection="1">
      <alignment horizontal="center" vertical="center"/>
      <protection locked="0"/>
    </xf>
    <xf numFmtId="9" fontId="11" fillId="7" borderId="6" xfId="6"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0" fontId="50" fillId="0" borderId="0" xfId="4" applyFont="1" applyProtection="1">
      <protection hidden="1"/>
    </xf>
    <xf numFmtId="0" fontId="24" fillId="0" borderId="0" xfId="0" applyFont="1" applyAlignment="1">
      <alignment horizontal="left" vertical="top"/>
    </xf>
    <xf numFmtId="166" fontId="16" fillId="3" borderId="0" xfId="4" applyNumberFormat="1" applyFont="1" applyFill="1" applyAlignment="1" applyProtection="1">
      <alignment horizontal="center"/>
      <protection locked="0"/>
    </xf>
    <xf numFmtId="0" fontId="16" fillId="3" borderId="0" xfId="4" applyFont="1" applyFill="1" applyProtection="1">
      <protection locked="0"/>
    </xf>
    <xf numFmtId="10" fontId="16" fillId="3" borderId="0" xfId="4" applyNumberFormat="1" applyFont="1" applyFill="1" applyProtection="1">
      <protection locked="0"/>
    </xf>
    <xf numFmtId="166" fontId="16" fillId="3" borderId="0" xfId="3" applyNumberFormat="1" applyFont="1" applyFill="1" applyAlignment="1" applyProtection="1">
      <alignment horizontal="left"/>
      <protection locked="0"/>
    </xf>
    <xf numFmtId="166" fontId="16" fillId="3" borderId="0" xfId="4" applyNumberFormat="1" applyFont="1" applyFill="1" applyProtection="1">
      <protection locked="0"/>
    </xf>
    <xf numFmtId="44" fontId="16" fillId="3" borderId="0" xfId="3" applyFont="1" applyFill="1" applyAlignment="1" applyProtection="1">
      <alignment horizontal="left"/>
      <protection locked="0"/>
    </xf>
    <xf numFmtId="0" fontId="16" fillId="3" borderId="0" xfId="0" applyFont="1" applyFill="1" applyProtection="1">
      <protection locked="0"/>
    </xf>
    <xf numFmtId="166" fontId="16" fillId="3" borderId="0" xfId="0" applyNumberFormat="1" applyFont="1" applyFill="1" applyAlignment="1" applyProtection="1">
      <alignment horizontal="left"/>
      <protection locked="0"/>
    </xf>
    <xf numFmtId="10" fontId="16" fillId="3" borderId="0" xfId="0" applyNumberFormat="1" applyFont="1" applyFill="1" applyAlignment="1" applyProtection="1">
      <alignment horizontal="right"/>
      <protection locked="0"/>
    </xf>
    <xf numFmtId="10" fontId="16" fillId="3" borderId="0" xfId="4" applyNumberFormat="1" applyFont="1" applyFill="1" applyAlignment="1" applyProtection="1">
      <alignment horizontal="right"/>
      <protection locked="0"/>
    </xf>
    <xf numFmtId="10" fontId="16" fillId="3" borderId="0" xfId="4" applyNumberFormat="1" applyFont="1" applyFill="1" applyAlignment="1" applyProtection="1">
      <alignment horizontal="center"/>
      <protection locked="0"/>
    </xf>
    <xf numFmtId="10" fontId="16" fillId="3" borderId="0" xfId="6" applyNumberFormat="1" applyFont="1" applyFill="1" applyProtection="1">
      <protection locked="0"/>
    </xf>
    <xf numFmtId="0" fontId="16" fillId="3" borderId="0" xfId="4" applyFont="1" applyFill="1" applyAlignment="1" applyProtection="1">
      <alignment horizontal="left"/>
      <protection locked="0"/>
    </xf>
    <xf numFmtId="0" fontId="16" fillId="3" borderId="0" xfId="5" applyFont="1" applyFill="1" applyAlignment="1" applyProtection="1">
      <alignment horizontal="left"/>
      <protection locked="0"/>
    </xf>
    <xf numFmtId="0" fontId="41" fillId="0" borderId="0" xfId="0" applyFont="1" applyAlignment="1">
      <alignment vertical="top"/>
    </xf>
    <xf numFmtId="0" fontId="41" fillId="0" borderId="49" xfId="0" applyFont="1" applyBorder="1" applyAlignment="1">
      <alignment horizontal="left" vertical="top"/>
    </xf>
    <xf numFmtId="166" fontId="16" fillId="0" borderId="0" xfId="0" applyNumberFormat="1" applyFont="1" applyAlignment="1" applyProtection="1">
      <alignment horizontal="left"/>
      <protection locked="0"/>
    </xf>
    <xf numFmtId="0" fontId="11" fillId="0" borderId="3" xfId="4" applyFont="1" applyBorder="1" applyAlignment="1" applyProtection="1">
      <alignment horizontal="left"/>
      <protection hidden="1"/>
    </xf>
    <xf numFmtId="0" fontId="11" fillId="0" borderId="48" xfId="4" applyFont="1" applyBorder="1" applyAlignment="1" applyProtection="1">
      <alignment horizontal="left"/>
      <protection hidden="1"/>
    </xf>
    <xf numFmtId="0" fontId="11" fillId="0" borderId="0" xfId="4" applyFont="1" applyProtection="1">
      <protection hidden="1"/>
    </xf>
    <xf numFmtId="0" fontId="16" fillId="6" borderId="0" xfId="0" applyFont="1" applyFill="1"/>
    <xf numFmtId="0" fontId="52" fillId="6" borderId="0" xfId="0" applyFont="1" applyFill="1" applyAlignment="1">
      <alignment horizontal="left"/>
    </xf>
    <xf numFmtId="0" fontId="52" fillId="0" borderId="0" xfId="0" applyFont="1" applyAlignment="1">
      <alignment horizontal="left"/>
    </xf>
    <xf numFmtId="0" fontId="50" fillId="0" borderId="0" xfId="0" applyFont="1"/>
    <xf numFmtId="49" fontId="50" fillId="0" borderId="0" xfId="0" applyNumberFormat="1" applyFont="1" applyAlignment="1">
      <alignment horizontal="center"/>
    </xf>
    <xf numFmtId="0" fontId="50" fillId="0" borderId="0" xfId="0" applyFont="1" applyAlignment="1">
      <alignment horizontal="center"/>
    </xf>
    <xf numFmtId="15" fontId="50" fillId="0" borderId="0" xfId="0" applyNumberFormat="1" applyFont="1"/>
    <xf numFmtId="15" fontId="16" fillId="0" borderId="0" xfId="0" applyNumberFormat="1" applyFont="1"/>
    <xf numFmtId="15" fontId="44" fillId="6" borderId="0" xfId="0" applyNumberFormat="1" applyFont="1" applyFill="1"/>
    <xf numFmtId="171" fontId="13" fillId="0" borderId="6" xfId="6" applyNumberFormat="1" applyFont="1" applyBorder="1" applyAlignment="1" applyProtection="1">
      <alignment horizontal="center"/>
      <protection hidden="1"/>
    </xf>
    <xf numFmtId="49" fontId="11" fillId="7" borderId="11" xfId="4" applyNumberFormat="1" applyFont="1" applyFill="1" applyBorder="1" applyAlignment="1" applyProtection="1">
      <alignment horizontal="center"/>
      <protection locked="0"/>
    </xf>
    <xf numFmtId="170" fontId="10" fillId="0" borderId="38" xfId="3" applyNumberFormat="1" applyFont="1" applyBorder="1" applyAlignment="1" applyProtection="1">
      <alignment horizontal="center"/>
      <protection hidden="1"/>
    </xf>
    <xf numFmtId="0" fontId="11" fillId="0" borderId="6" xfId="4" applyFont="1" applyBorder="1" applyProtection="1">
      <protection hidden="1"/>
    </xf>
    <xf numFmtId="0" fontId="53" fillId="0" borderId="0" xfId="0" applyFont="1" applyAlignment="1">
      <alignment horizontal="left" vertical="center" indent="1"/>
    </xf>
    <xf numFmtId="0" fontId="39" fillId="0" borderId="0" xfId="0" applyFont="1" applyAlignment="1">
      <alignment horizontal="center" vertical="center" wrapText="1"/>
    </xf>
    <xf numFmtId="9" fontId="39" fillId="0" borderId="0" xfId="0" applyNumberFormat="1" applyFont="1" applyAlignment="1">
      <alignment horizontal="center" vertical="center" wrapText="1"/>
    </xf>
    <xf numFmtId="10" fontId="39" fillId="0" borderId="0" xfId="0" applyNumberFormat="1" applyFont="1" applyAlignment="1">
      <alignment horizontal="center" vertical="center" wrapText="1"/>
    </xf>
    <xf numFmtId="0" fontId="39" fillId="0" borderId="0" xfId="0" applyFont="1" applyAlignment="1">
      <alignment horizontal="left" vertical="center" indent="1"/>
    </xf>
    <xf numFmtId="166" fontId="16" fillId="0" borderId="0" xfId="4" applyNumberFormat="1" applyFont="1" applyProtection="1">
      <protection hidden="1"/>
    </xf>
    <xf numFmtId="164" fontId="12" fillId="7" borderId="6" xfId="4" applyNumberFormat="1" applyFont="1" applyFill="1" applyBorder="1" applyAlignment="1" applyProtection="1">
      <alignment horizontal="center"/>
      <protection locked="0"/>
    </xf>
    <xf numFmtId="166" fontId="10" fillId="7" borderId="6" xfId="3" applyNumberFormat="1" applyFont="1" applyFill="1" applyBorder="1" applyAlignment="1" applyProtection="1">
      <alignment horizontal="center"/>
      <protection locked="0"/>
    </xf>
    <xf numFmtId="164" fontId="12" fillId="7" borderId="2" xfId="4" applyNumberFormat="1" applyFont="1" applyFill="1" applyBorder="1" applyAlignment="1" applyProtection="1">
      <alignment horizontal="center"/>
      <protection locked="0"/>
    </xf>
    <xf numFmtId="166" fontId="10" fillId="7" borderId="11" xfId="3" applyNumberFormat="1" applyFont="1" applyFill="1" applyBorder="1" applyAlignment="1" applyProtection="1">
      <alignment horizontal="center"/>
      <protection locked="0"/>
    </xf>
    <xf numFmtId="164" fontId="12" fillId="7" borderId="7" xfId="4" applyNumberFormat="1" applyFont="1" applyFill="1" applyBorder="1" applyAlignment="1" applyProtection="1">
      <alignment horizontal="center"/>
      <protection locked="0"/>
    </xf>
    <xf numFmtId="0" fontId="10" fillId="0" borderId="8" xfId="4" applyFont="1" applyBorder="1" applyAlignment="1" applyProtection="1">
      <alignment horizontal="left" vertical="center" wrapText="1"/>
      <protection hidden="1"/>
    </xf>
    <xf numFmtId="0" fontId="10" fillId="0" borderId="2" xfId="4" applyFont="1" applyBorder="1" applyAlignment="1" applyProtection="1">
      <alignment horizontal="center" vertical="center" wrapText="1"/>
      <protection hidden="1"/>
    </xf>
    <xf numFmtId="0" fontId="11" fillId="7" borderId="6" xfId="0" applyFont="1" applyFill="1" applyBorder="1" applyAlignment="1" applyProtection="1">
      <alignment horizontal="center"/>
      <protection locked="0"/>
    </xf>
    <xf numFmtId="1" fontId="11" fillId="0" borderId="6" xfId="0" applyNumberFormat="1" applyFont="1" applyBorder="1" applyAlignment="1" applyProtection="1">
      <alignment horizontal="center"/>
      <protection hidden="1"/>
    </xf>
    <xf numFmtId="170" fontId="10" fillId="0" borderId="2" xfId="3" applyNumberFormat="1" applyFont="1" applyBorder="1" applyAlignment="1" applyProtection="1">
      <alignment horizontal="center"/>
      <protection hidden="1"/>
    </xf>
    <xf numFmtId="49" fontId="12" fillId="5" borderId="0" xfId="4" applyNumberFormat="1" applyFont="1" applyFill="1" applyAlignment="1" applyProtection="1">
      <alignment horizontal="center"/>
      <protection hidden="1"/>
    </xf>
    <xf numFmtId="0" fontId="54" fillId="6" borderId="4" xfId="4" applyFont="1" applyFill="1" applyBorder="1" applyProtection="1">
      <protection hidden="1"/>
    </xf>
    <xf numFmtId="0" fontId="46" fillId="0" borderId="0" xfId="4" applyFont="1" applyProtection="1">
      <protection locked="0"/>
    </xf>
    <xf numFmtId="0" fontId="10" fillId="5" borderId="3" xfId="4" applyFont="1" applyFill="1" applyBorder="1" applyProtection="1">
      <protection hidden="1"/>
    </xf>
    <xf numFmtId="0" fontId="11" fillId="5" borderId="0" xfId="4" applyFont="1" applyFill="1" applyProtection="1">
      <protection hidden="1"/>
    </xf>
    <xf numFmtId="0" fontId="10" fillId="5" borderId="0" xfId="4" applyFont="1" applyFill="1" applyProtection="1">
      <protection hidden="1"/>
    </xf>
    <xf numFmtId="172" fontId="10" fillId="5" borderId="5" xfId="4" applyNumberFormat="1" applyFont="1" applyFill="1" applyBorder="1" applyAlignment="1" applyProtection="1">
      <alignment horizontal="center"/>
      <protection hidden="1"/>
    </xf>
    <xf numFmtId="0" fontId="10" fillId="5" borderId="5" xfId="4" applyFont="1" applyFill="1" applyBorder="1" applyProtection="1">
      <protection hidden="1"/>
    </xf>
    <xf numFmtId="0" fontId="14" fillId="0" borderId="5" xfId="0" applyFont="1" applyBorder="1"/>
    <xf numFmtId="0" fontId="11" fillId="5" borderId="3" xfId="4" applyFont="1" applyFill="1" applyBorder="1" applyProtection="1">
      <protection hidden="1"/>
    </xf>
    <xf numFmtId="0" fontId="10" fillId="5" borderId="0" xfId="4" applyFont="1" applyFill="1" applyAlignment="1" applyProtection="1">
      <alignment horizontal="center"/>
      <protection hidden="1"/>
    </xf>
    <xf numFmtId="0" fontId="11" fillId="5" borderId="0" xfId="4" applyFont="1" applyFill="1" applyAlignment="1" applyProtection="1">
      <alignment horizontal="center"/>
      <protection hidden="1"/>
    </xf>
    <xf numFmtId="0" fontId="10" fillId="5" borderId="5" xfId="4" applyFont="1" applyFill="1" applyBorder="1" applyAlignment="1" applyProtection="1">
      <alignment horizontal="center"/>
      <protection hidden="1"/>
    </xf>
    <xf numFmtId="0" fontId="11" fillId="5" borderId="0" xfId="4" applyFont="1" applyFill="1" applyAlignment="1" applyProtection="1">
      <alignment vertical="center"/>
      <protection hidden="1"/>
    </xf>
    <xf numFmtId="0" fontId="11" fillId="0" borderId="0" xfId="4" applyFont="1" applyAlignment="1" applyProtection="1">
      <alignment vertical="center"/>
      <protection hidden="1"/>
    </xf>
    <xf numFmtId="0" fontId="46" fillId="0" borderId="0" xfId="4" applyFont="1" applyAlignment="1" applyProtection="1">
      <alignment vertical="center"/>
      <protection hidden="1"/>
    </xf>
    <xf numFmtId="0" fontId="46" fillId="0" borderId="0" xfId="4" applyFont="1" applyAlignment="1" applyProtection="1">
      <alignment vertical="center"/>
      <protection locked="0"/>
    </xf>
    <xf numFmtId="0" fontId="10" fillId="0" borderId="8" xfId="4" applyFont="1" applyBorder="1" applyAlignment="1" applyProtection="1">
      <alignment horizontal="left"/>
      <protection hidden="1"/>
    </xf>
    <xf numFmtId="0" fontId="45" fillId="0" borderId="0" xfId="4" applyFont="1" applyProtection="1">
      <protection hidden="1"/>
    </xf>
    <xf numFmtId="2" fontId="11" fillId="0" borderId="0" xfId="4" applyNumberFormat="1" applyFont="1" applyAlignment="1" applyProtection="1">
      <alignment horizontal="right"/>
      <protection hidden="1"/>
    </xf>
    <xf numFmtId="2" fontId="11" fillId="0" borderId="0" xfId="4" applyNumberFormat="1" applyFont="1" applyProtection="1">
      <protection hidden="1"/>
    </xf>
    <xf numFmtId="2" fontId="13" fillId="0" borderId="0" xfId="2" applyNumberFormat="1" applyFont="1" applyAlignment="1" applyProtection="1">
      <alignment horizontal="right"/>
      <protection hidden="1"/>
    </xf>
    <xf numFmtId="169" fontId="46" fillId="0" borderId="0" xfId="3" applyNumberFormat="1" applyFont="1"/>
    <xf numFmtId="169" fontId="46" fillId="0" borderId="0" xfId="4" applyNumberFormat="1" applyFont="1" applyProtection="1">
      <protection hidden="1"/>
    </xf>
    <xf numFmtId="0" fontId="10" fillId="0" borderId="8" xfId="4" applyFont="1" applyBorder="1" applyAlignment="1" applyProtection="1">
      <alignment vertical="center"/>
      <protection hidden="1"/>
    </xf>
    <xf numFmtId="0" fontId="10" fillId="0" borderId="6" xfId="4" applyFont="1" applyBorder="1" applyAlignment="1" applyProtection="1">
      <alignment horizontal="center" vertical="center"/>
      <protection hidden="1"/>
    </xf>
    <xf numFmtId="166" fontId="10" fillId="7" borderId="6" xfId="4" applyNumberFormat="1" applyFont="1" applyFill="1" applyBorder="1" applyAlignment="1" applyProtection="1">
      <alignment horizontal="center"/>
      <protection locked="0"/>
    </xf>
    <xf numFmtId="0" fontId="46" fillId="0" borderId="0" xfId="5" applyFont="1" applyProtection="1">
      <protection hidden="1"/>
    </xf>
    <xf numFmtId="2" fontId="46" fillId="0" borderId="0" xfId="4" applyNumberFormat="1" applyFont="1" applyProtection="1">
      <protection hidden="1"/>
    </xf>
    <xf numFmtId="0" fontId="11" fillId="0" borderId="0" xfId="5" applyFont="1" applyProtection="1">
      <protection hidden="1"/>
    </xf>
    <xf numFmtId="168" fontId="11" fillId="0" borderId="0" xfId="4" applyNumberFormat="1" applyFont="1" applyProtection="1">
      <protection hidden="1"/>
    </xf>
    <xf numFmtId="168" fontId="10" fillId="0" borderId="0" xfId="4" applyNumberFormat="1" applyFont="1" applyProtection="1">
      <protection hidden="1"/>
    </xf>
    <xf numFmtId="1" fontId="46" fillId="0" borderId="0" xfId="4" applyNumberFormat="1" applyFont="1" applyProtection="1">
      <protection hidden="1"/>
    </xf>
    <xf numFmtId="10" fontId="46" fillId="0" borderId="0" xfId="4" applyNumberFormat="1" applyFont="1" applyProtection="1">
      <protection hidden="1"/>
    </xf>
    <xf numFmtId="49" fontId="46" fillId="0" borderId="0" xfId="4" applyNumberFormat="1" applyFont="1" applyAlignment="1" applyProtection="1">
      <alignment horizontal="left"/>
      <protection hidden="1"/>
    </xf>
    <xf numFmtId="10" fontId="46" fillId="0" borderId="0" xfId="6" applyNumberFormat="1" applyFont="1" applyProtection="1">
      <protection hidden="1"/>
    </xf>
    <xf numFmtId="170" fontId="46" fillId="0" borderId="0" xfId="4" applyNumberFormat="1" applyFont="1" applyProtection="1">
      <protection hidden="1"/>
    </xf>
    <xf numFmtId="0" fontId="46" fillId="0" borderId="0" xfId="5" applyFont="1" applyProtection="1">
      <protection locked="0"/>
    </xf>
    <xf numFmtId="0" fontId="46" fillId="0" borderId="0" xfId="4" applyFont="1" applyAlignment="1" applyProtection="1">
      <alignment horizontal="left"/>
      <protection hidden="1"/>
    </xf>
    <xf numFmtId="0" fontId="58" fillId="0" borderId="0" xfId="4" applyFont="1" applyAlignment="1" applyProtection="1">
      <alignment horizontal="left"/>
      <protection hidden="1"/>
    </xf>
    <xf numFmtId="0" fontId="59" fillId="0" borderId="0" xfId="4" applyFont="1" applyAlignment="1" applyProtection="1">
      <alignment horizontal="left"/>
      <protection hidden="1"/>
    </xf>
    <xf numFmtId="0" fontId="60" fillId="0" borderId="0" xfId="4" applyFont="1" applyAlignment="1" applyProtection="1">
      <alignment horizontal="left"/>
      <protection hidden="1"/>
    </xf>
    <xf numFmtId="170" fontId="11" fillId="0" borderId="0" xfId="4" applyNumberFormat="1" applyFont="1" applyProtection="1">
      <protection hidden="1"/>
    </xf>
    <xf numFmtId="170" fontId="46" fillId="0" borderId="0" xfId="5" applyNumberFormat="1" applyFont="1" applyProtection="1">
      <protection locked="0"/>
    </xf>
    <xf numFmtId="49" fontId="11" fillId="7" borderId="14" xfId="4" applyNumberFormat="1" applyFont="1" applyFill="1" applyBorder="1" applyProtection="1">
      <protection locked="0"/>
    </xf>
    <xf numFmtId="15" fontId="11" fillId="7" borderId="15" xfId="4" applyNumberFormat="1" applyFont="1" applyFill="1" applyBorder="1" applyProtection="1">
      <protection locked="0"/>
    </xf>
    <xf numFmtId="179" fontId="46" fillId="0" borderId="0" xfId="1" applyNumberFormat="1" applyFont="1" applyProtection="1">
      <protection hidden="1"/>
    </xf>
    <xf numFmtId="179" fontId="46" fillId="0" borderId="0" xfId="1" applyNumberFormat="1" applyFont="1" applyAlignment="1">
      <alignment horizontal="center"/>
    </xf>
    <xf numFmtId="9" fontId="11" fillId="7" borderId="6" xfId="6" applyFont="1" applyFill="1" applyBorder="1" applyAlignment="1" applyProtection="1">
      <alignment horizontal="center"/>
      <protection locked="0"/>
    </xf>
    <xf numFmtId="0" fontId="11" fillId="7" borderId="2" xfId="0" applyFont="1" applyFill="1" applyBorder="1" applyProtection="1">
      <protection locked="0"/>
    </xf>
    <xf numFmtId="0" fontId="11" fillId="2" borderId="14" xfId="0" applyFont="1" applyFill="1" applyBorder="1" applyProtection="1">
      <protection hidden="1"/>
    </xf>
    <xf numFmtId="0" fontId="11" fillId="7" borderId="15" xfId="0" applyFont="1" applyFill="1" applyBorder="1" applyProtection="1">
      <protection locked="0"/>
    </xf>
    <xf numFmtId="0" fontId="34" fillId="6" borderId="4" xfId="4" applyFont="1" applyFill="1" applyBorder="1" applyProtection="1">
      <protection hidden="1"/>
    </xf>
    <xf numFmtId="171" fontId="10" fillId="0" borderId="6" xfId="6" applyNumberFormat="1" applyFont="1" applyBorder="1" applyAlignment="1" applyProtection="1">
      <alignment horizontal="center"/>
      <protection hidden="1"/>
    </xf>
    <xf numFmtId="170" fontId="11" fillId="0" borderId="6" xfId="3" applyNumberFormat="1" applyFont="1" applyBorder="1" applyAlignment="1" applyProtection="1">
      <alignment horizontal="left"/>
      <protection hidden="1"/>
    </xf>
    <xf numFmtId="170" fontId="10" fillId="0" borderId="17" xfId="3" applyNumberFormat="1" applyFont="1" applyBorder="1" applyAlignment="1" applyProtection="1">
      <alignment horizontal="center"/>
      <protection hidden="1"/>
    </xf>
    <xf numFmtId="0" fontId="11" fillId="0" borderId="1" xfId="4" applyFont="1" applyBorder="1" applyProtection="1">
      <protection hidden="1"/>
    </xf>
    <xf numFmtId="0" fontId="11" fillId="0" borderId="11" xfId="4" applyFont="1" applyBorder="1" applyProtection="1">
      <protection hidden="1"/>
    </xf>
    <xf numFmtId="0" fontId="10" fillId="0" borderId="7" xfId="4" applyFont="1" applyBorder="1" applyAlignment="1" applyProtection="1">
      <alignment horizontal="center" vertical="center"/>
      <protection hidden="1"/>
    </xf>
    <xf numFmtId="164" fontId="34" fillId="6" borderId="2" xfId="0" applyNumberFormat="1" applyFont="1" applyFill="1" applyBorder="1" applyAlignment="1" applyProtection="1">
      <alignment horizontal="center"/>
      <protection hidden="1"/>
    </xf>
    <xf numFmtId="0" fontId="11" fillId="7" borderId="14" xfId="0" applyFont="1" applyFill="1" applyBorder="1" applyAlignment="1" applyProtection="1">
      <alignment horizontal="center"/>
      <protection locked="0"/>
    </xf>
    <xf numFmtId="171" fontId="10" fillId="0" borderId="2" xfId="6" applyNumberFormat="1" applyFont="1" applyBorder="1" applyAlignment="1" applyProtection="1">
      <alignment horizontal="center"/>
      <protection hidden="1"/>
    </xf>
    <xf numFmtId="9" fontId="11" fillId="7" borderId="7" xfId="6" applyFont="1" applyFill="1" applyBorder="1" applyAlignment="1" applyProtection="1">
      <alignment horizontal="center"/>
      <protection locked="0"/>
    </xf>
    <xf numFmtId="2" fontId="11" fillId="0" borderId="7" xfId="0" applyNumberFormat="1" applyFont="1" applyBorder="1" applyAlignment="1">
      <alignment horizontal="center"/>
    </xf>
    <xf numFmtId="0" fontId="11" fillId="5" borderId="26" xfId="4" applyFont="1" applyFill="1" applyBorder="1" applyProtection="1">
      <protection hidden="1"/>
    </xf>
    <xf numFmtId="0" fontId="11" fillId="5" borderId="5" xfId="4" applyFont="1" applyFill="1" applyBorder="1" applyProtection="1">
      <protection hidden="1"/>
    </xf>
    <xf numFmtId="0" fontId="63" fillId="5" borderId="3" xfId="0" applyFont="1" applyFill="1" applyBorder="1" applyProtection="1">
      <protection hidden="1"/>
    </xf>
    <xf numFmtId="0" fontId="10" fillId="5" borderId="0" xfId="4" applyFont="1" applyFill="1" applyAlignment="1" applyProtection="1">
      <alignment horizontal="right" vertical="center"/>
      <protection hidden="1"/>
    </xf>
    <xf numFmtId="3" fontId="10" fillId="5" borderId="5" xfId="4" applyNumberFormat="1" applyFont="1" applyFill="1" applyBorder="1" applyAlignment="1" applyProtection="1">
      <alignment horizontal="center" vertical="center"/>
      <protection hidden="1"/>
    </xf>
    <xf numFmtId="0" fontId="11" fillId="5" borderId="34" xfId="4" applyFont="1" applyFill="1" applyBorder="1" applyProtection="1">
      <protection hidden="1"/>
    </xf>
    <xf numFmtId="0" fontId="11" fillId="5" borderId="43" xfId="4" applyFont="1" applyFill="1" applyBorder="1" applyProtection="1">
      <protection hidden="1"/>
    </xf>
    <xf numFmtId="0" fontId="11" fillId="5" borderId="48" xfId="4" applyFont="1" applyFill="1" applyBorder="1" applyProtection="1">
      <protection hidden="1"/>
    </xf>
    <xf numFmtId="0" fontId="10" fillId="5" borderId="46" xfId="5" applyFont="1" applyFill="1" applyBorder="1" applyProtection="1">
      <protection hidden="1"/>
    </xf>
    <xf numFmtId="169" fontId="10" fillId="5" borderId="47" xfId="3" applyNumberFormat="1" applyFont="1" applyFill="1" applyBorder="1" applyProtection="1">
      <protection hidden="1"/>
    </xf>
    <xf numFmtId="169" fontId="10" fillId="5" borderId="44" xfId="3" applyNumberFormat="1" applyFont="1" applyFill="1" applyBorder="1" applyProtection="1">
      <protection hidden="1"/>
    </xf>
    <xf numFmtId="170" fontId="10" fillId="5" borderId="45" xfId="3" applyNumberFormat="1" applyFont="1" applyFill="1" applyBorder="1" applyAlignment="1" applyProtection="1">
      <alignment horizontal="center"/>
      <protection hidden="1"/>
    </xf>
    <xf numFmtId="170" fontId="10" fillId="5" borderId="47" xfId="3" applyNumberFormat="1" applyFont="1" applyFill="1" applyBorder="1" applyAlignment="1" applyProtection="1">
      <alignment horizontal="center"/>
      <protection hidden="1"/>
    </xf>
    <xf numFmtId="170" fontId="10" fillId="5" borderId="42" xfId="4" applyNumberFormat="1" applyFont="1" applyFill="1" applyBorder="1" applyAlignment="1" applyProtection="1">
      <alignment horizontal="center"/>
      <protection hidden="1"/>
    </xf>
    <xf numFmtId="0" fontId="10" fillId="5" borderId="47" xfId="4" applyFont="1" applyFill="1" applyBorder="1" applyAlignment="1" applyProtection="1">
      <alignment horizontal="center"/>
      <protection hidden="1"/>
    </xf>
    <xf numFmtId="0" fontId="13" fillId="7" borderId="6" xfId="4" applyFont="1" applyFill="1" applyBorder="1" applyAlignment="1" applyProtection="1">
      <alignment horizontal="center"/>
      <protection locked="0"/>
    </xf>
    <xf numFmtId="0" fontId="11" fillId="0" borderId="0" xfId="4" applyFont="1" applyProtection="1">
      <protection locked="0"/>
    </xf>
    <xf numFmtId="0" fontId="46" fillId="0" borderId="0" xfId="5" applyFont="1" applyAlignment="1" applyProtection="1">
      <alignment horizontal="centerContinuous"/>
      <protection locked="0"/>
    </xf>
    <xf numFmtId="0" fontId="14" fillId="0" borderId="0" xfId="0" applyFont="1" applyProtection="1">
      <protection locked="0"/>
    </xf>
    <xf numFmtId="0" fontId="55" fillId="0" borderId="0" xfId="5" applyFont="1" applyProtection="1">
      <protection locked="0"/>
    </xf>
    <xf numFmtId="0" fontId="56" fillId="0" borderId="0" xfId="5" applyFont="1" applyAlignment="1" applyProtection="1">
      <alignment horizontal="centerContinuous"/>
      <protection locked="0"/>
    </xf>
    <xf numFmtId="167" fontId="56" fillId="0" borderId="0" xfId="5" applyNumberFormat="1" applyFont="1" applyAlignment="1" applyProtection="1">
      <alignment horizontal="center"/>
      <protection locked="0"/>
    </xf>
    <xf numFmtId="170" fontId="57" fillId="0" borderId="0" xfId="4" applyNumberFormat="1" applyFont="1" applyProtection="1">
      <protection locked="0"/>
    </xf>
    <xf numFmtId="0" fontId="11" fillId="7" borderId="11" xfId="4" applyFont="1" applyFill="1" applyBorder="1" applyProtection="1">
      <protection locked="0"/>
    </xf>
    <xf numFmtId="0" fontId="11" fillId="7" borderId="8" xfId="4" applyFont="1" applyFill="1" applyBorder="1" applyAlignment="1" applyProtection="1">
      <alignment horizontal="left"/>
      <protection locked="0"/>
    </xf>
    <xf numFmtId="0" fontId="11" fillId="7" borderId="9" xfId="4" applyFont="1" applyFill="1" applyBorder="1" applyAlignment="1" applyProtection="1">
      <alignment horizontal="left"/>
      <protection locked="0"/>
    </xf>
    <xf numFmtId="0" fontId="65" fillId="0" borderId="0" xfId="4" applyFont="1" applyAlignment="1" applyProtection="1">
      <alignment horizontal="center"/>
      <protection hidden="1"/>
    </xf>
    <xf numFmtId="49" fontId="46" fillId="0" borderId="0" xfId="4" applyNumberFormat="1" applyFont="1" applyAlignment="1" applyProtection="1">
      <alignment horizontal="left"/>
      <protection locked="0"/>
    </xf>
    <xf numFmtId="1" fontId="46" fillId="0" borderId="0" xfId="4" applyNumberFormat="1" applyFont="1" applyProtection="1">
      <protection locked="0"/>
    </xf>
    <xf numFmtId="0" fontId="59" fillId="0" borderId="0" xfId="4" applyFont="1" applyProtection="1">
      <protection locked="0"/>
    </xf>
    <xf numFmtId="0" fontId="61" fillId="0" borderId="0" xfId="4" applyFont="1" applyAlignment="1" applyProtection="1">
      <alignment horizontal="centerContinuous"/>
      <protection locked="0"/>
    </xf>
    <xf numFmtId="0" fontId="46" fillId="0" borderId="0" xfId="4" applyFont="1" applyAlignment="1" applyProtection="1">
      <alignment horizontal="centerContinuous"/>
      <protection locked="0"/>
    </xf>
    <xf numFmtId="0" fontId="62" fillId="0" borderId="0" xfId="4" applyFont="1" applyAlignment="1" applyProtection="1">
      <alignment horizontal="centerContinuous"/>
      <protection locked="0"/>
    </xf>
    <xf numFmtId="0" fontId="46" fillId="0" borderId="0" xfId="4" applyFont="1" applyAlignment="1" applyProtection="1">
      <alignment wrapText="1"/>
      <protection locked="0"/>
    </xf>
    <xf numFmtId="44" fontId="46" fillId="0" borderId="0" xfId="3" applyFont="1" applyProtection="1">
      <protection locked="0"/>
    </xf>
    <xf numFmtId="0" fontId="46" fillId="0" borderId="0" xfId="5" quotePrefix="1" applyFont="1" applyProtection="1">
      <protection locked="0"/>
    </xf>
    <xf numFmtId="174" fontId="46" fillId="0" borderId="0" xfId="4" applyNumberFormat="1" applyFont="1" applyAlignment="1" applyProtection="1">
      <alignment horizontal="left"/>
      <protection locked="0"/>
    </xf>
    <xf numFmtId="169" fontId="46" fillId="0" borderId="0" xfId="3" applyNumberFormat="1" applyFont="1" applyProtection="1">
      <protection locked="0"/>
    </xf>
    <xf numFmtId="0" fontId="46" fillId="0" borderId="49" xfId="4" applyFont="1" applyBorder="1" applyProtection="1">
      <protection locked="0"/>
    </xf>
    <xf numFmtId="3" fontId="46" fillId="0" borderId="0" xfId="4" applyNumberFormat="1" applyFont="1" applyProtection="1">
      <protection locked="0"/>
    </xf>
    <xf numFmtId="171" fontId="46" fillId="0" borderId="0" xfId="6" applyNumberFormat="1" applyFont="1" applyProtection="1">
      <protection locked="0"/>
    </xf>
    <xf numFmtId="1" fontId="46" fillId="0" borderId="0" xfId="0" applyNumberFormat="1" applyFont="1" applyProtection="1">
      <protection locked="0"/>
    </xf>
    <xf numFmtId="170" fontId="46" fillId="0" borderId="0" xfId="0" applyNumberFormat="1" applyFont="1" applyProtection="1">
      <protection locked="0"/>
    </xf>
    <xf numFmtId="0" fontId="46" fillId="0" borderId="0" xfId="0" applyFont="1" applyProtection="1">
      <protection locked="0"/>
    </xf>
    <xf numFmtId="170" fontId="46" fillId="0" borderId="0" xfId="6" applyNumberFormat="1" applyFont="1" applyProtection="1">
      <protection locked="0"/>
    </xf>
    <xf numFmtId="1" fontId="46" fillId="0" borderId="0" xfId="1" applyNumberFormat="1" applyFont="1" applyProtection="1">
      <protection locked="0"/>
    </xf>
    <xf numFmtId="9" fontId="46" fillId="0" borderId="0" xfId="6" applyFont="1" applyProtection="1">
      <protection locked="0"/>
    </xf>
    <xf numFmtId="0" fontId="45" fillId="0" borderId="21" xfId="4" applyFont="1" applyBorder="1" applyAlignment="1" applyProtection="1">
      <alignment vertical="center"/>
      <protection hidden="1"/>
    </xf>
    <xf numFmtId="0" fontId="45" fillId="0" borderId="4" xfId="4" applyFont="1" applyBorder="1" applyAlignment="1" applyProtection="1">
      <alignment horizontal="center" vertical="center"/>
      <protection hidden="1"/>
    </xf>
    <xf numFmtId="0" fontId="45" fillId="0" borderId="22" xfId="4" applyFont="1" applyBorder="1" applyAlignment="1" applyProtection="1">
      <alignment horizontal="center" vertical="center"/>
      <protection hidden="1"/>
    </xf>
    <xf numFmtId="0" fontId="46" fillId="0" borderId="3" xfId="4" applyFont="1" applyBorder="1" applyProtection="1">
      <protection hidden="1"/>
    </xf>
    <xf numFmtId="166" fontId="46" fillId="0" borderId="0" xfId="4" applyNumberFormat="1" applyFont="1" applyAlignment="1" applyProtection="1">
      <alignment horizontal="center"/>
      <protection hidden="1"/>
    </xf>
    <xf numFmtId="0" fontId="45" fillId="0" borderId="3" xfId="5" applyFont="1" applyBorder="1" applyProtection="1">
      <protection hidden="1"/>
    </xf>
    <xf numFmtId="166" fontId="45" fillId="0" borderId="0" xfId="5" applyNumberFormat="1" applyFont="1" applyAlignment="1" applyProtection="1">
      <alignment horizontal="center"/>
      <protection hidden="1"/>
    </xf>
    <xf numFmtId="0" fontId="46" fillId="0" borderId="5" xfId="5" applyFont="1" applyBorder="1" applyProtection="1">
      <protection hidden="1"/>
    </xf>
    <xf numFmtId="0" fontId="46" fillId="0" borderId="3" xfId="5" applyFont="1" applyBorder="1" applyAlignment="1" applyProtection="1">
      <alignment horizontal="left"/>
      <protection hidden="1"/>
    </xf>
    <xf numFmtId="166" fontId="46" fillId="0" borderId="0" xfId="5" applyNumberFormat="1" applyFont="1" applyAlignment="1" applyProtection="1">
      <alignment horizontal="center"/>
      <protection hidden="1"/>
    </xf>
    <xf numFmtId="0" fontId="46" fillId="0" borderId="5" xfId="5" applyFont="1" applyBorder="1" applyAlignment="1" applyProtection="1">
      <alignment horizontal="center"/>
      <protection hidden="1"/>
    </xf>
    <xf numFmtId="0" fontId="46" fillId="0" borderId="3" xfId="5" applyFont="1" applyBorder="1" applyAlignment="1" applyProtection="1">
      <alignment horizontal="center"/>
      <protection hidden="1"/>
    </xf>
    <xf numFmtId="0" fontId="46" fillId="0" borderId="0" xfId="5" applyFont="1" applyAlignment="1" applyProtection="1">
      <alignment horizontal="center"/>
      <protection hidden="1"/>
    </xf>
    <xf numFmtId="0" fontId="45" fillId="0" borderId="3" xfId="4" applyFont="1" applyBorder="1" applyProtection="1">
      <protection hidden="1"/>
    </xf>
    <xf numFmtId="0" fontId="45" fillId="0" borderId="0" xfId="4" applyFont="1" applyAlignment="1" applyProtection="1">
      <alignment horizontal="center"/>
      <protection hidden="1"/>
    </xf>
    <xf numFmtId="0" fontId="46" fillId="0" borderId="3" xfId="5" applyFont="1" applyBorder="1" applyProtection="1">
      <protection hidden="1"/>
    </xf>
    <xf numFmtId="15" fontId="46" fillId="7" borderId="0" xfId="5" applyNumberFormat="1" applyFont="1" applyFill="1" applyAlignment="1" applyProtection="1">
      <alignment horizontal="center"/>
      <protection locked="0"/>
    </xf>
    <xf numFmtId="0" fontId="55" fillId="0" borderId="5" xfId="5" applyFont="1" applyBorder="1" applyProtection="1">
      <protection hidden="1"/>
    </xf>
    <xf numFmtId="15" fontId="46" fillId="0" borderId="0" xfId="4" applyNumberFormat="1" applyFont="1" applyAlignment="1" applyProtection="1">
      <alignment horizontal="center"/>
      <protection hidden="1"/>
    </xf>
    <xf numFmtId="0" fontId="56" fillId="0" borderId="5" xfId="5" applyFont="1" applyBorder="1" applyAlignment="1" applyProtection="1">
      <alignment horizontal="center"/>
      <protection hidden="1"/>
    </xf>
    <xf numFmtId="14" fontId="56" fillId="0" borderId="3" xfId="5" applyNumberFormat="1" applyFont="1" applyBorder="1" applyAlignment="1" applyProtection="1">
      <alignment horizontal="left"/>
      <protection hidden="1"/>
    </xf>
    <xf numFmtId="37" fontId="56" fillId="0" borderId="5" xfId="5" applyNumberFormat="1" applyFont="1" applyBorder="1" applyAlignment="1" applyProtection="1">
      <alignment horizontal="center"/>
      <protection hidden="1"/>
    </xf>
    <xf numFmtId="0" fontId="46" fillId="0" borderId="5" xfId="4" applyFont="1" applyBorder="1" applyProtection="1">
      <protection hidden="1"/>
    </xf>
    <xf numFmtId="37" fontId="65" fillId="0" borderId="0" xfId="5" applyNumberFormat="1" applyFont="1" applyAlignment="1" applyProtection="1">
      <alignment horizontal="center"/>
      <protection hidden="1"/>
    </xf>
    <xf numFmtId="14" fontId="56" fillId="0" borderId="48" xfId="5" applyNumberFormat="1" applyFont="1" applyBorder="1" applyAlignment="1" applyProtection="1">
      <alignment horizontal="left"/>
      <protection hidden="1"/>
    </xf>
    <xf numFmtId="0" fontId="45" fillId="0" borderId="26" xfId="4" applyFont="1" applyBorder="1" applyAlignment="1" applyProtection="1">
      <alignment horizontal="center"/>
      <protection hidden="1"/>
    </xf>
    <xf numFmtId="0" fontId="46" fillId="0" borderId="26" xfId="4" applyFont="1" applyBorder="1" applyProtection="1">
      <protection hidden="1"/>
    </xf>
    <xf numFmtId="0" fontId="46" fillId="0" borderId="27" xfId="4" applyFont="1" applyBorder="1" applyProtection="1">
      <protection hidden="1"/>
    </xf>
    <xf numFmtId="49" fontId="11" fillId="7" borderId="6" xfId="6" applyNumberFormat="1" applyFont="1" applyFill="1" applyBorder="1" applyAlignment="1" applyProtection="1">
      <alignment horizontal="center" vertical="center"/>
      <protection locked="0"/>
    </xf>
    <xf numFmtId="9" fontId="11" fillId="7" borderId="18" xfId="6" applyFont="1" applyFill="1" applyBorder="1" applyAlignment="1" applyProtection="1">
      <alignment horizontal="center" vertical="center"/>
      <protection locked="0"/>
    </xf>
    <xf numFmtId="166" fontId="11" fillId="7" borderId="18" xfId="3" applyNumberFormat="1" applyFont="1" applyFill="1" applyBorder="1" applyAlignment="1" applyProtection="1">
      <alignment horizontal="center" vertical="center"/>
      <protection locked="0"/>
    </xf>
    <xf numFmtId="9" fontId="11" fillId="7" borderId="2" xfId="6" applyFont="1" applyFill="1" applyBorder="1" applyAlignment="1" applyProtection="1">
      <alignment horizontal="center" vertical="center"/>
      <protection locked="0"/>
    </xf>
    <xf numFmtId="0" fontId="10" fillId="0" borderId="2" xfId="4" applyFont="1" applyBorder="1" applyAlignment="1" applyProtection="1">
      <alignment horizontal="center"/>
      <protection hidden="1"/>
    </xf>
    <xf numFmtId="0" fontId="11" fillId="0" borderId="11" xfId="0" applyFont="1" applyBorder="1" applyAlignment="1" applyProtection="1">
      <alignment horizontal="center"/>
      <protection hidden="1"/>
    </xf>
    <xf numFmtId="9" fontId="11" fillId="7" borderId="7" xfId="6" applyFont="1" applyFill="1" applyBorder="1" applyAlignment="1" applyProtection="1">
      <alignment horizontal="center" vertical="center"/>
      <protection locked="0"/>
    </xf>
    <xf numFmtId="0" fontId="46" fillId="7" borderId="6" xfId="4" applyFont="1" applyFill="1" applyBorder="1" applyProtection="1">
      <protection locked="0"/>
    </xf>
    <xf numFmtId="170" fontId="12" fillId="5" borderId="8" xfId="3" applyNumberFormat="1" applyFont="1" applyFill="1" applyBorder="1" applyAlignment="1" applyProtection="1">
      <alignment horizontal="center"/>
      <protection hidden="1"/>
    </xf>
    <xf numFmtId="170" fontId="13" fillId="0" borderId="8" xfId="3" applyNumberFormat="1" applyFont="1" applyBorder="1" applyAlignment="1" applyProtection="1">
      <alignment horizontal="center"/>
      <protection hidden="1"/>
    </xf>
    <xf numFmtId="0" fontId="10" fillId="0" borderId="13" xfId="4" applyFont="1" applyBorder="1" applyAlignment="1" applyProtection="1">
      <alignment horizontal="center" vertical="center"/>
      <protection hidden="1"/>
    </xf>
    <xf numFmtId="0" fontId="46" fillId="0" borderId="0" xfId="4" applyFont="1" applyAlignment="1" applyProtection="1">
      <alignment horizontal="right"/>
      <protection hidden="1"/>
    </xf>
    <xf numFmtId="179" fontId="45" fillId="0" borderId="0" xfId="1" applyNumberFormat="1" applyFont="1" applyProtection="1">
      <protection hidden="1"/>
    </xf>
    <xf numFmtId="0" fontId="16" fillId="0" borderId="0" xfId="0" applyFont="1" applyProtection="1">
      <protection locked="0"/>
    </xf>
    <xf numFmtId="9" fontId="16" fillId="0" borderId="0" xfId="4" applyNumberFormat="1" applyFont="1" applyProtection="1">
      <protection locked="0"/>
    </xf>
    <xf numFmtId="9" fontId="16" fillId="0" borderId="0" xfId="4" applyNumberFormat="1" applyFont="1" applyAlignment="1" applyProtection="1">
      <alignment horizontal="left"/>
      <protection hidden="1"/>
    </xf>
    <xf numFmtId="9" fontId="16" fillId="0" borderId="0" xfId="0" applyNumberFormat="1" applyFont="1" applyAlignment="1" applyProtection="1">
      <alignment horizontal="left"/>
      <protection hidden="1"/>
    </xf>
    <xf numFmtId="0" fontId="54" fillId="0" borderId="0" xfId="4" applyFont="1" applyProtection="1">
      <protection hidden="1"/>
    </xf>
    <xf numFmtId="0" fontId="54" fillId="0" borderId="0" xfId="4" applyFont="1" applyAlignment="1" applyProtection="1">
      <alignment vertical="center"/>
      <protection hidden="1"/>
    </xf>
    <xf numFmtId="44" fontId="16" fillId="0" borderId="0" xfId="3" applyFont="1"/>
    <xf numFmtId="0" fontId="66" fillId="0" borderId="0" xfId="7" applyAlignment="1">
      <alignment vertical="center"/>
    </xf>
    <xf numFmtId="0" fontId="17" fillId="0" borderId="0" xfId="0" applyFont="1"/>
    <xf numFmtId="0" fontId="66" fillId="0" borderId="0" xfId="7"/>
    <xf numFmtId="44" fontId="17" fillId="0" borderId="0" xfId="3" applyFont="1"/>
    <xf numFmtId="0" fontId="67" fillId="0" borderId="0" xfId="0" applyFont="1"/>
    <xf numFmtId="44" fontId="67" fillId="0" borderId="0" xfId="3" applyFont="1"/>
    <xf numFmtId="0" fontId="48" fillId="0" borderId="0" xfId="0" applyFont="1"/>
    <xf numFmtId="44" fontId="48" fillId="0" borderId="0" xfId="3" applyFont="1"/>
    <xf numFmtId="0" fontId="67" fillId="0" borderId="21" xfId="0" applyFont="1" applyBorder="1"/>
    <xf numFmtId="44" fontId="48" fillId="0" borderId="22" xfId="3" applyFont="1" applyBorder="1"/>
    <xf numFmtId="0" fontId="16" fillId="0" borderId="3" xfId="0" applyFont="1" applyBorder="1"/>
    <xf numFmtId="0" fontId="16" fillId="0" borderId="5" xfId="0" applyFont="1" applyBorder="1"/>
    <xf numFmtId="44" fontId="17" fillId="0" borderId="5" xfId="3" applyFont="1" applyBorder="1"/>
    <xf numFmtId="0" fontId="67" fillId="0" borderId="48" xfId="0" applyFont="1" applyBorder="1"/>
    <xf numFmtId="8" fontId="17" fillId="0" borderId="27" xfId="3" applyNumberFormat="1" applyFont="1" applyBorder="1"/>
    <xf numFmtId="44" fontId="16" fillId="7" borderId="5" xfId="3" applyFont="1" applyFill="1" applyBorder="1" applyProtection="1">
      <protection locked="0"/>
    </xf>
    <xf numFmtId="44" fontId="16" fillId="7" borderId="0" xfId="3" applyFont="1" applyFill="1" applyProtection="1">
      <protection locked="0"/>
    </xf>
    <xf numFmtId="44" fontId="16" fillId="7" borderId="0" xfId="3" applyFont="1" applyFill="1" applyProtection="1"/>
    <xf numFmtId="0" fontId="16" fillId="0" borderId="0" xfId="0" applyFont="1" applyAlignment="1">
      <alignment horizontal="right"/>
    </xf>
    <xf numFmtId="0" fontId="0" fillId="0" borderId="0" xfId="0" applyAlignment="1">
      <alignment horizontal="right"/>
    </xf>
    <xf numFmtId="0" fontId="47" fillId="0" borderId="0" xfId="0" applyFont="1"/>
    <xf numFmtId="44" fontId="17" fillId="7" borderId="0" xfId="3" applyFont="1" applyFill="1" applyProtection="1">
      <protection locked="0"/>
    </xf>
    <xf numFmtId="169" fontId="17" fillId="7" borderId="0" xfId="3" applyNumberFormat="1" applyFont="1" applyFill="1" applyProtection="1">
      <protection locked="0"/>
    </xf>
    <xf numFmtId="0" fontId="16" fillId="7" borderId="0" xfId="0" applyFont="1" applyFill="1" applyAlignment="1" applyProtection="1">
      <alignment horizontal="right"/>
      <protection locked="0"/>
    </xf>
    <xf numFmtId="42" fontId="12" fillId="7" borderId="6" xfId="3" applyNumberFormat="1" applyFont="1" applyFill="1" applyBorder="1" applyAlignment="1" applyProtection="1">
      <alignment horizontal="center"/>
      <protection locked="0"/>
    </xf>
    <xf numFmtId="42" fontId="13" fillId="7" borderId="6" xfId="3" applyNumberFormat="1" applyFont="1" applyFill="1" applyBorder="1" applyAlignment="1" applyProtection="1">
      <alignment horizontal="center"/>
      <protection locked="0"/>
    </xf>
    <xf numFmtId="15" fontId="44" fillId="0" borderId="0" xfId="0" applyNumberFormat="1" applyFont="1"/>
    <xf numFmtId="0" fontId="16" fillId="0" borderId="0" xfId="4" applyFont="1" applyAlignment="1" applyProtection="1">
      <alignment horizontal="center"/>
      <protection hidden="1"/>
    </xf>
    <xf numFmtId="0" fontId="22" fillId="0" borderId="0" xfId="0" applyFont="1"/>
    <xf numFmtId="0" fontId="21" fillId="0" borderId="0" xfId="0" applyFont="1"/>
    <xf numFmtId="0" fontId="0" fillId="0" borderId="0" xfId="0" applyAlignment="1">
      <alignment wrapText="1"/>
    </xf>
    <xf numFmtId="0" fontId="20" fillId="0" borderId="0" xfId="0" applyFont="1" applyAlignment="1">
      <alignment wrapText="1"/>
    </xf>
    <xf numFmtId="0" fontId="20" fillId="0" borderId="0" xfId="0" applyFont="1"/>
    <xf numFmtId="2" fontId="0" fillId="0" borderId="0" xfId="0" applyNumberFormat="1" applyAlignment="1">
      <alignment horizontal="right"/>
    </xf>
    <xf numFmtId="0" fontId="22" fillId="0" borderId="0" xfId="0" applyFont="1" applyAlignment="1">
      <alignment horizontal="center"/>
    </xf>
    <xf numFmtId="0" fontId="8" fillId="0" borderId="0" xfId="0" applyFont="1" applyAlignment="1">
      <alignment wrapText="1"/>
    </xf>
    <xf numFmtId="0" fontId="23" fillId="0" borderId="0" xfId="0" applyFont="1"/>
    <xf numFmtId="0" fontId="8" fillId="0" borderId="0" xfId="0" applyFont="1" applyAlignment="1">
      <alignment horizontal="left"/>
    </xf>
    <xf numFmtId="0" fontId="24" fillId="5" borderId="19" xfId="0" applyFont="1" applyFill="1" applyBorder="1" applyAlignment="1">
      <alignment horizontal="left" vertical="center"/>
    </xf>
    <xf numFmtId="0" fontId="8" fillId="5" borderId="19" xfId="0" applyFont="1" applyFill="1" applyBorder="1" applyAlignment="1">
      <alignment horizontal="left"/>
    </xf>
    <xf numFmtId="3" fontId="0" fillId="0" borderId="0" xfId="0" applyNumberFormat="1"/>
    <xf numFmtId="166" fontId="20" fillId="0" borderId="0" xfId="0" applyNumberFormat="1" applyFont="1" applyAlignment="1">
      <alignment horizontal="center"/>
    </xf>
    <xf numFmtId="0" fontId="11" fillId="0" borderId="0" xfId="4" applyFont="1" applyAlignment="1" applyProtection="1">
      <alignment horizontal="center"/>
      <protection hidden="1"/>
    </xf>
    <xf numFmtId="0" fontId="11" fillId="5" borderId="6" xfId="4" applyFont="1" applyFill="1" applyBorder="1" applyProtection="1">
      <protection hidden="1"/>
    </xf>
    <xf numFmtId="0" fontId="11" fillId="5" borderId="6" xfId="4" applyFont="1" applyFill="1" applyBorder="1" applyAlignment="1" applyProtection="1">
      <alignment horizontal="center"/>
      <protection hidden="1"/>
    </xf>
    <xf numFmtId="0" fontId="10" fillId="0" borderId="6" xfId="4" applyFont="1" applyBorder="1" applyAlignment="1">
      <alignment horizontal="center"/>
    </xf>
    <xf numFmtId="0" fontId="11" fillId="0" borderId="18" xfId="4" applyFont="1" applyBorder="1" applyAlignment="1" applyProtection="1">
      <alignment horizontal="center" vertical="center"/>
      <protection hidden="1"/>
    </xf>
    <xf numFmtId="0" fontId="11" fillId="7" borderId="18" xfId="4" applyFont="1" applyFill="1" applyBorder="1" applyAlignment="1" applyProtection="1">
      <alignment horizontal="center" vertical="center"/>
      <protection locked="0"/>
    </xf>
    <xf numFmtId="166" fontId="10" fillId="7" borderId="2" xfId="3" applyNumberFormat="1" applyFont="1" applyFill="1" applyBorder="1" applyAlignment="1" applyProtection="1">
      <alignment horizontal="center" vertical="center"/>
      <protection locked="0"/>
    </xf>
    <xf numFmtId="14" fontId="56" fillId="0" borderId="0" xfId="5" applyNumberFormat="1" applyFont="1" applyAlignment="1" applyProtection="1">
      <alignment horizontal="left"/>
      <protection hidden="1"/>
    </xf>
    <xf numFmtId="168" fontId="16" fillId="0" borderId="0" xfId="0" applyNumberFormat="1" applyFont="1" applyAlignment="1">
      <alignment horizontal="center"/>
    </xf>
    <xf numFmtId="0" fontId="11" fillId="6" borderId="0" xfId="4" applyFont="1" applyFill="1" applyProtection="1">
      <protection hidden="1"/>
    </xf>
    <xf numFmtId="0" fontId="10" fillId="0" borderId="52" xfId="4" applyFont="1" applyBorder="1" applyAlignment="1" applyProtection="1">
      <alignment horizontal="center" vertical="center" wrapText="1"/>
      <protection hidden="1"/>
    </xf>
    <xf numFmtId="0" fontId="10" fillId="0" borderId="50" xfId="4" applyFont="1" applyBorder="1" applyAlignment="1" applyProtection="1">
      <alignment horizontal="center" vertical="center" wrapText="1"/>
      <protection hidden="1"/>
    </xf>
    <xf numFmtId="0" fontId="10" fillId="0" borderId="65" xfId="4" applyFont="1" applyBorder="1" applyAlignment="1" applyProtection="1">
      <alignment horizontal="center" vertical="center" wrapText="1"/>
      <protection hidden="1"/>
    </xf>
    <xf numFmtId="9" fontId="17" fillId="0" borderId="0" xfId="6" applyFont="1" applyAlignment="1" applyProtection="1">
      <alignment horizontal="center" vertical="center" wrapText="1"/>
      <protection hidden="1"/>
    </xf>
    <xf numFmtId="0" fontId="46" fillId="0" borderId="0" xfId="6" applyNumberFormat="1" applyFont="1" applyProtection="1">
      <protection hidden="1"/>
    </xf>
    <xf numFmtId="9" fontId="54" fillId="5" borderId="0" xfId="6" applyFont="1" applyFill="1" applyBorder="1" applyAlignment="1" applyProtection="1">
      <alignment horizontal="center"/>
      <protection locked="0"/>
    </xf>
    <xf numFmtId="49" fontId="54" fillId="5" borderId="0" xfId="4" applyNumberFormat="1" applyFont="1" applyFill="1" applyAlignment="1" applyProtection="1">
      <alignment horizontal="left"/>
      <protection locked="0"/>
    </xf>
    <xf numFmtId="166" fontId="49" fillId="5" borderId="0" xfId="3" applyNumberFormat="1" applyFont="1" applyFill="1" applyBorder="1" applyAlignment="1" applyProtection="1">
      <alignment horizontal="center"/>
      <protection locked="0"/>
    </xf>
    <xf numFmtId="164" fontId="49" fillId="5" borderId="0" xfId="4" applyNumberFormat="1" applyFont="1" applyFill="1" applyAlignment="1" applyProtection="1">
      <alignment horizontal="center"/>
      <protection locked="0"/>
    </xf>
    <xf numFmtId="8" fontId="46" fillId="0" borderId="0" xfId="4" applyNumberFormat="1" applyFont="1" applyProtection="1">
      <protection hidden="1"/>
    </xf>
    <xf numFmtId="166" fontId="17" fillId="0" borderId="0" xfId="0" applyNumberFormat="1" applyFont="1" applyAlignment="1" applyProtection="1">
      <alignment horizontal="center"/>
      <protection locked="0"/>
    </xf>
    <xf numFmtId="10" fontId="16" fillId="3" borderId="0" xfId="0" applyNumberFormat="1" applyFont="1" applyFill="1" applyAlignment="1" applyProtection="1">
      <alignment horizontal="center"/>
      <protection locked="0"/>
    </xf>
    <xf numFmtId="10" fontId="16" fillId="3" borderId="0" xfId="6" applyNumberFormat="1" applyFont="1" applyFill="1" applyAlignment="1" applyProtection="1">
      <alignment horizontal="center"/>
      <protection locked="0"/>
    </xf>
    <xf numFmtId="10" fontId="16" fillId="3" borderId="0" xfId="0" applyNumberFormat="1" applyFont="1" applyFill="1" applyAlignment="1" applyProtection="1">
      <alignment horizontal="center"/>
      <protection hidden="1"/>
    </xf>
    <xf numFmtId="10" fontId="46" fillId="0" borderId="0" xfId="4" applyNumberFormat="1" applyFont="1" applyAlignment="1" applyProtection="1">
      <alignment horizontal="centerContinuous"/>
      <protection locked="0"/>
    </xf>
    <xf numFmtId="0" fontId="10" fillId="7" borderId="6" xfId="4" applyFont="1" applyFill="1" applyBorder="1" applyAlignment="1" applyProtection="1">
      <alignment horizontal="center"/>
      <protection locked="0"/>
    </xf>
    <xf numFmtId="170" fontId="12" fillId="5" borderId="6" xfId="3" applyNumberFormat="1" applyFont="1" applyFill="1" applyBorder="1" applyAlignment="1" applyProtection="1">
      <alignment horizontal="center"/>
      <protection hidden="1"/>
    </xf>
    <xf numFmtId="166" fontId="10" fillId="7" borderId="6" xfId="862" applyNumberFormat="1" applyFont="1" applyFill="1" applyBorder="1" applyAlignment="1" applyProtection="1">
      <alignment horizontal="center"/>
      <protection locked="0"/>
    </xf>
    <xf numFmtId="5" fontId="12" fillId="7" borderId="2" xfId="4" applyNumberFormat="1" applyFont="1" applyFill="1" applyBorder="1" applyAlignment="1" applyProtection="1">
      <alignment horizontal="center"/>
      <protection locked="0"/>
    </xf>
    <xf numFmtId="168" fontId="10" fillId="7" borderId="6" xfId="862" applyNumberFormat="1" applyFont="1" applyFill="1" applyBorder="1" applyAlignment="1" applyProtection="1">
      <alignment horizontal="center"/>
      <protection locked="0"/>
    </xf>
    <xf numFmtId="10" fontId="10" fillId="0" borderId="6" xfId="6" applyNumberFormat="1" applyFont="1" applyBorder="1" applyAlignment="1" applyProtection="1">
      <alignment horizontal="center"/>
      <protection hidden="1"/>
    </xf>
    <xf numFmtId="0" fontId="46" fillId="0" borderId="0" xfId="4" applyFont="1" applyAlignment="1" applyProtection="1">
      <alignment horizontal="left" indent="1"/>
      <protection hidden="1"/>
    </xf>
    <xf numFmtId="1" fontId="11" fillId="0" borderId="0" xfId="4" applyNumberFormat="1" applyFont="1" applyProtection="1">
      <protection locked="0"/>
    </xf>
    <xf numFmtId="10" fontId="46" fillId="0" borderId="6" xfId="6" applyNumberFormat="1" applyFont="1" applyBorder="1" applyAlignment="1" applyProtection="1">
      <alignment horizontal="center"/>
      <protection hidden="1"/>
    </xf>
    <xf numFmtId="0" fontId="10" fillId="0" borderId="17" xfId="4" applyFont="1" applyBorder="1" applyAlignment="1" applyProtection="1">
      <alignment horizontal="center" vertical="center" wrapText="1"/>
      <protection hidden="1"/>
    </xf>
    <xf numFmtId="9" fontId="16" fillId="3" borderId="0" xfId="4" applyNumberFormat="1" applyFont="1" applyFill="1" applyProtection="1">
      <protection locked="0"/>
    </xf>
    <xf numFmtId="1" fontId="16" fillId="3" borderId="0" xfId="4" applyNumberFormat="1" applyFont="1" applyFill="1" applyProtection="1">
      <protection locked="0"/>
    </xf>
    <xf numFmtId="168" fontId="46" fillId="0" borderId="5" xfId="3" applyNumberFormat="1" applyFont="1" applyBorder="1" applyProtection="1">
      <protection hidden="1"/>
    </xf>
    <xf numFmtId="9" fontId="11" fillId="7" borderId="12" xfId="6" applyFont="1" applyFill="1" applyBorder="1" applyAlignment="1" applyProtection="1">
      <alignment horizontal="center"/>
      <protection locked="0"/>
    </xf>
    <xf numFmtId="171" fontId="10" fillId="0" borderId="14" xfId="6" applyNumberFormat="1" applyFont="1" applyBorder="1" applyAlignment="1" applyProtection="1">
      <alignment horizontal="center"/>
      <protection hidden="1"/>
    </xf>
    <xf numFmtId="0" fontId="83" fillId="6" borderId="0" xfId="4" applyFont="1" applyFill="1" applyAlignment="1" applyProtection="1">
      <alignment horizontal="center" vertical="center"/>
      <protection hidden="1"/>
    </xf>
    <xf numFmtId="9" fontId="46" fillId="0" borderId="0" xfId="4" applyNumberFormat="1" applyFont="1" applyProtection="1">
      <protection locked="0"/>
    </xf>
    <xf numFmtId="0" fontId="10" fillId="0" borderId="6" xfId="4" applyFont="1" applyBorder="1" applyProtection="1">
      <protection locked="0"/>
    </xf>
    <xf numFmtId="0" fontId="46" fillId="4" borderId="0" xfId="5" applyFont="1" applyFill="1" applyAlignment="1" applyProtection="1">
      <alignment horizontal="center"/>
      <protection hidden="1"/>
    </xf>
    <xf numFmtId="0" fontId="17" fillId="0" borderId="0" xfId="0" applyFont="1" applyAlignment="1">
      <alignment horizontal="left"/>
    </xf>
    <xf numFmtId="0" fontId="8" fillId="0" borderId="0" xfId="0" applyFont="1"/>
    <xf numFmtId="10" fontId="46" fillId="0" borderId="0" xfId="4" applyNumberFormat="1" applyFont="1" applyProtection="1">
      <protection locked="0"/>
    </xf>
    <xf numFmtId="6" fontId="46" fillId="0" borderId="0" xfId="4" applyNumberFormat="1" applyFont="1" applyProtection="1">
      <protection locked="0"/>
    </xf>
    <xf numFmtId="3" fontId="32" fillId="0" borderId="0" xfId="0" applyNumberFormat="1" applyFont="1"/>
    <xf numFmtId="0" fontId="16" fillId="0" borderId="0" xfId="0" applyFont="1" applyAlignment="1" applyProtection="1">
      <alignment horizontal="center"/>
      <protection hidden="1"/>
    </xf>
    <xf numFmtId="0" fontId="16" fillId="39" borderId="0" xfId="0" applyFont="1" applyFill="1" applyProtection="1">
      <protection hidden="1"/>
    </xf>
    <xf numFmtId="9" fontId="16" fillId="0" borderId="0" xfId="0" applyNumberFormat="1" applyFont="1" applyProtection="1">
      <protection hidden="1"/>
    </xf>
    <xf numFmtId="10" fontId="16" fillId="3" borderId="0" xfId="0" applyNumberFormat="1" applyFont="1" applyFill="1" applyProtection="1">
      <protection hidden="1"/>
    </xf>
    <xf numFmtId="10" fontId="16" fillId="0" borderId="0" xfId="4" applyNumberFormat="1" applyFont="1" applyAlignment="1" applyProtection="1">
      <alignment horizontal="center"/>
      <protection locked="0"/>
    </xf>
    <xf numFmtId="10" fontId="16" fillId="0" borderId="0" xfId="0" applyNumberFormat="1" applyFont="1" applyAlignment="1" applyProtection="1">
      <alignment horizontal="right"/>
      <protection locked="0"/>
    </xf>
    <xf numFmtId="0" fontId="11" fillId="7" borderId="6" xfId="3" applyNumberFormat="1" applyFont="1" applyFill="1" applyBorder="1" applyAlignment="1" applyProtection="1">
      <alignment horizontal="center"/>
    </xf>
    <xf numFmtId="44" fontId="46" fillId="0" borderId="0" xfId="3" applyFont="1" applyProtection="1">
      <protection hidden="1"/>
    </xf>
    <xf numFmtId="10" fontId="17" fillId="0" borderId="0" xfId="0" applyNumberFormat="1" applyFont="1" applyAlignment="1" applyProtection="1">
      <alignment horizontal="center"/>
      <protection locked="0"/>
    </xf>
    <xf numFmtId="10" fontId="16" fillId="0" borderId="0" xfId="6" applyNumberFormat="1" applyFont="1" applyFill="1" applyProtection="1">
      <protection hidden="1"/>
    </xf>
    <xf numFmtId="10" fontId="16" fillId="0" borderId="0" xfId="0" applyNumberFormat="1" applyFont="1" applyAlignment="1" applyProtection="1">
      <alignment horizontal="center"/>
      <protection locked="0"/>
    </xf>
    <xf numFmtId="10" fontId="16" fillId="0" borderId="0" xfId="4" applyNumberFormat="1" applyFont="1" applyAlignment="1">
      <alignment horizontal="center"/>
    </xf>
    <xf numFmtId="166" fontId="16" fillId="0" borderId="0" xfId="3" applyNumberFormat="1" applyFont="1" applyFill="1" applyProtection="1">
      <protection hidden="1"/>
    </xf>
    <xf numFmtId="166" fontId="16" fillId="3" borderId="0" xfId="3" applyNumberFormat="1" applyFont="1" applyFill="1" applyProtection="1">
      <protection locked="0"/>
    </xf>
    <xf numFmtId="166" fontId="16" fillId="3" borderId="0" xfId="0" applyNumberFormat="1" applyFont="1" applyFill="1" applyAlignment="1" applyProtection="1">
      <alignment horizontal="right"/>
      <protection locked="0"/>
    </xf>
    <xf numFmtId="166" fontId="16" fillId="3" borderId="0" xfId="4" applyNumberFormat="1" applyFont="1" applyFill="1" applyAlignment="1" applyProtection="1">
      <alignment horizontal="right"/>
      <protection locked="0"/>
    </xf>
    <xf numFmtId="168" fontId="16" fillId="3" borderId="0" xfId="0" applyNumberFormat="1" applyFont="1" applyFill="1" applyAlignment="1" applyProtection="1">
      <alignment horizontal="right"/>
      <protection locked="0"/>
    </xf>
    <xf numFmtId="10" fontId="16" fillId="3" borderId="0" xfId="0" applyNumberFormat="1" applyFont="1" applyFill="1" applyProtection="1">
      <protection locked="0"/>
    </xf>
    <xf numFmtId="1" fontId="84" fillId="7" borderId="6" xfId="4" applyNumberFormat="1" applyFont="1" applyFill="1" applyBorder="1" applyAlignment="1" applyProtection="1">
      <alignment horizontal="center"/>
      <protection locked="0"/>
    </xf>
    <xf numFmtId="0" fontId="11" fillId="40" borderId="0" xfId="0" applyFont="1" applyFill="1"/>
    <xf numFmtId="0" fontId="87" fillId="40" borderId="0" xfId="0" applyFont="1" applyFill="1" applyAlignment="1">
      <alignment horizontal="left"/>
    </xf>
    <xf numFmtId="0" fontId="11" fillId="0" borderId="0" xfId="0" applyFont="1"/>
    <xf numFmtId="0" fontId="54" fillId="0" borderId="0" xfId="0" applyFont="1"/>
    <xf numFmtId="0" fontId="54" fillId="0" borderId="0" xfId="0" applyFont="1" applyProtection="1">
      <protection hidden="1"/>
    </xf>
    <xf numFmtId="0" fontId="11" fillId="0" borderId="0" xfId="0" applyFont="1" applyProtection="1">
      <protection hidden="1"/>
    </xf>
    <xf numFmtId="0" fontId="54" fillId="5" borderId="0" xfId="0" applyFont="1" applyFill="1" applyProtection="1">
      <protection hidden="1"/>
    </xf>
    <xf numFmtId="8" fontId="54" fillId="5" borderId="0" xfId="0" applyNumberFormat="1" applyFont="1" applyFill="1" applyProtection="1">
      <protection hidden="1"/>
    </xf>
    <xf numFmtId="0" fontId="54" fillId="5" borderId="0" xfId="0" applyFont="1" applyFill="1"/>
    <xf numFmtId="0" fontId="88" fillId="0" borderId="0" xfId="0" applyFont="1" applyAlignment="1">
      <alignment vertical="top"/>
    </xf>
    <xf numFmtId="0" fontId="11" fillId="0" borderId="0" xfId="0" applyFont="1" applyAlignment="1">
      <alignment vertical="top"/>
    </xf>
    <xf numFmtId="0" fontId="91" fillId="0" borderId="0" xfId="0" applyFont="1"/>
    <xf numFmtId="0" fontId="11" fillId="0" borderId="0" xfId="0" applyFont="1" applyAlignment="1">
      <alignment vertical="top" wrapText="1"/>
    </xf>
    <xf numFmtId="0" fontId="11" fillId="5" borderId="4" xfId="0" applyFont="1" applyFill="1" applyBorder="1"/>
    <xf numFmtId="0" fontId="11" fillId="5" borderId="4" xfId="0" applyFont="1" applyFill="1" applyBorder="1" applyAlignment="1">
      <alignment wrapText="1"/>
    </xf>
    <xf numFmtId="0" fontId="11" fillId="5" borderId="22" xfId="0" applyFont="1" applyFill="1" applyBorder="1"/>
    <xf numFmtId="0" fontId="11" fillId="5" borderId="0" xfId="0" applyFont="1" applyFill="1"/>
    <xf numFmtId="0" fontId="92" fillId="5" borderId="0" xfId="7" applyFont="1" applyFill="1" applyBorder="1"/>
    <xf numFmtId="0" fontId="11" fillId="5" borderId="0" xfId="0" applyFont="1" applyFill="1" applyAlignment="1">
      <alignment wrapText="1"/>
    </xf>
    <xf numFmtId="0" fontId="11" fillId="5" borderId="5" xfId="0" applyFont="1" applyFill="1" applyBorder="1"/>
    <xf numFmtId="0" fontId="92" fillId="5" borderId="26" xfId="7" applyFont="1" applyFill="1" applyBorder="1"/>
    <xf numFmtId="0" fontId="11" fillId="5" borderId="26" xfId="0" applyFont="1" applyFill="1" applyBorder="1"/>
    <xf numFmtId="0" fontId="11" fillId="5" borderId="26" xfId="0" applyFont="1" applyFill="1" applyBorder="1" applyAlignment="1">
      <alignment wrapText="1"/>
    </xf>
    <xf numFmtId="0" fontId="11" fillId="5" borderId="27" xfId="0" applyFont="1" applyFill="1" applyBorder="1"/>
    <xf numFmtId="0" fontId="92" fillId="5" borderId="0" xfId="7" applyFont="1" applyFill="1" applyBorder="1" applyAlignment="1">
      <alignment vertical="center"/>
    </xf>
    <xf numFmtId="0" fontId="11" fillId="0" borderId="0" xfId="0" applyFont="1" applyAlignment="1">
      <alignment horizontal="left"/>
    </xf>
    <xf numFmtId="0" fontId="11" fillId="40" borderId="0" xfId="0" applyFont="1" applyFill="1" applyAlignment="1">
      <alignment horizontal="left"/>
    </xf>
    <xf numFmtId="0" fontId="88" fillId="0" borderId="0" xfId="0" applyFont="1" applyAlignment="1">
      <alignment horizontal="left" vertical="top"/>
    </xf>
    <xf numFmtId="0" fontId="11" fillId="0" borderId="0" xfId="0" applyFont="1" applyAlignment="1">
      <alignment horizontal="left" vertical="top"/>
    </xf>
    <xf numFmtId="6" fontId="11" fillId="0" borderId="0" xfId="0" applyNumberFormat="1" applyFont="1" applyAlignment="1">
      <alignment horizontal="left" vertical="top"/>
    </xf>
    <xf numFmtId="0" fontId="88" fillId="0" borderId="0" xfId="0" applyFont="1" applyAlignment="1">
      <alignment vertical="top" wrapText="1"/>
    </xf>
    <xf numFmtId="0" fontId="93" fillId="0" borderId="6" xfId="4" applyFont="1" applyBorder="1" applyAlignment="1" applyProtection="1">
      <alignment horizontal="center" vertical="center" wrapText="1"/>
      <protection hidden="1"/>
    </xf>
    <xf numFmtId="0" fontId="93" fillId="0" borderId="2" xfId="4" applyFont="1" applyBorder="1" applyAlignment="1" applyProtection="1">
      <alignment horizontal="center" vertical="center" wrapText="1"/>
      <protection hidden="1"/>
    </xf>
    <xf numFmtId="0" fontId="93" fillId="0" borderId="8" xfId="4" applyFont="1" applyBorder="1" applyAlignment="1" applyProtection="1">
      <alignment horizontal="left" vertical="center" wrapText="1"/>
      <protection hidden="1"/>
    </xf>
    <xf numFmtId="0" fontId="93" fillId="0" borderId="8" xfId="4" applyFont="1" applyBorder="1" applyProtection="1">
      <protection hidden="1"/>
    </xf>
    <xf numFmtId="0" fontId="93" fillId="0" borderId="13" xfId="4" applyFont="1" applyBorder="1" applyProtection="1">
      <protection hidden="1"/>
    </xf>
    <xf numFmtId="0" fontId="93" fillId="0" borderId="1" xfId="4" applyFont="1" applyBorder="1" applyProtection="1">
      <protection hidden="1"/>
    </xf>
    <xf numFmtId="0" fontId="26" fillId="0" borderId="0" xfId="0" applyFont="1"/>
    <xf numFmtId="0" fontId="26" fillId="0" borderId="26" xfId="0" applyFont="1" applyBorder="1"/>
    <xf numFmtId="0" fontId="16" fillId="3" borderId="0" xfId="5" applyFont="1" applyFill="1" applyAlignment="1" applyProtection="1">
      <alignment horizontal="left"/>
      <protection locked="0" hidden="1"/>
    </xf>
    <xf numFmtId="10" fontId="11" fillId="0" borderId="6" xfId="6" applyNumberFormat="1" applyFont="1" applyBorder="1" applyAlignment="1" applyProtection="1">
      <alignment horizontal="center"/>
      <protection hidden="1"/>
    </xf>
    <xf numFmtId="10" fontId="10" fillId="7" borderId="23" xfId="6" applyNumberFormat="1" applyFont="1" applyFill="1" applyBorder="1" applyAlignment="1" applyProtection="1">
      <alignment horizontal="center"/>
      <protection locked="0"/>
    </xf>
    <xf numFmtId="0" fontId="34" fillId="6" borderId="28" xfId="4" applyFont="1" applyFill="1" applyBorder="1" applyAlignment="1" applyProtection="1">
      <alignment horizontal="left" vertical="center"/>
      <protection hidden="1"/>
    </xf>
    <xf numFmtId="49" fontId="11" fillId="7" borderId="50" xfId="4" applyNumberFormat="1" applyFont="1" applyFill="1" applyBorder="1" applyProtection="1">
      <protection locked="0"/>
    </xf>
    <xf numFmtId="15" fontId="11" fillId="7" borderId="65" xfId="4" applyNumberFormat="1" applyFont="1" applyFill="1" applyBorder="1" applyProtection="1">
      <protection locked="0"/>
    </xf>
    <xf numFmtId="0" fontId="11" fillId="5" borderId="3" xfId="4" applyFont="1" applyFill="1" applyBorder="1" applyAlignment="1" applyProtection="1">
      <alignment horizontal="left"/>
      <protection hidden="1"/>
    </xf>
    <xf numFmtId="169" fontId="10" fillId="7" borderId="6" xfId="3" applyNumberFormat="1" applyFont="1" applyFill="1" applyBorder="1" applyAlignment="1" applyProtection="1">
      <alignment horizontal="center"/>
      <protection locked="0"/>
    </xf>
    <xf numFmtId="169" fontId="10" fillId="7" borderId="11" xfId="3" applyNumberFormat="1" applyFont="1" applyFill="1" applyBorder="1" applyAlignment="1" applyProtection="1">
      <alignment horizontal="center"/>
      <protection locked="0"/>
    </xf>
    <xf numFmtId="0" fontId="16" fillId="3" borderId="0" xfId="0" applyFont="1" applyFill="1" applyProtection="1">
      <protection locked="0" hidden="1"/>
    </xf>
    <xf numFmtId="10" fontId="16" fillId="7" borderId="0" xfId="4" applyNumberFormat="1" applyFont="1" applyFill="1" applyAlignment="1" applyProtection="1">
      <alignment horizontal="center"/>
      <protection locked="0"/>
    </xf>
    <xf numFmtId="44" fontId="11" fillId="0" borderId="0" xfId="3" applyFont="1"/>
    <xf numFmtId="0" fontId="11" fillId="7" borderId="11" xfId="4" applyFont="1" applyFill="1" applyBorder="1" applyAlignment="1" applyProtection="1">
      <alignment horizontal="left"/>
      <protection locked="0"/>
    </xf>
    <xf numFmtId="0" fontId="88" fillId="0" borderId="21" xfId="0" applyFont="1" applyBorder="1" applyProtection="1">
      <protection hidden="1"/>
    </xf>
    <xf numFmtId="0" fontId="11" fillId="0" borderId="22" xfId="0" applyFont="1" applyBorder="1" applyProtection="1">
      <protection hidden="1"/>
    </xf>
    <xf numFmtId="0" fontId="11" fillId="0" borderId="5" xfId="0" applyFont="1" applyBorder="1" applyProtection="1">
      <protection hidden="1"/>
    </xf>
    <xf numFmtId="0" fontId="11" fillId="0" borderId="3" xfId="0" applyFont="1" applyBorder="1" applyProtection="1">
      <protection hidden="1"/>
    </xf>
    <xf numFmtId="0" fontId="11" fillId="0" borderId="48" xfId="0" applyFont="1" applyBorder="1" applyProtection="1">
      <protection hidden="1"/>
    </xf>
    <xf numFmtId="0" fontId="90" fillId="0" borderId="0" xfId="0" applyFont="1" applyProtection="1">
      <protection hidden="1"/>
    </xf>
    <xf numFmtId="180" fontId="86" fillId="0" borderId="0" xfId="1690" applyNumberFormat="1" applyFont="1" applyFill="1" applyBorder="1" applyProtection="1">
      <protection hidden="1"/>
    </xf>
    <xf numFmtId="0" fontId="11" fillId="0" borderId="4" xfId="0" applyFont="1" applyBorder="1" applyProtection="1">
      <protection hidden="1"/>
    </xf>
    <xf numFmtId="180" fontId="88" fillId="0" borderId="26" xfId="1690" applyNumberFormat="1" applyFont="1" applyFill="1" applyBorder="1" applyProtection="1">
      <protection hidden="1"/>
    </xf>
    <xf numFmtId="0" fontId="11" fillId="0" borderId="27" xfId="0" applyFont="1" applyBorder="1" applyProtection="1">
      <protection hidden="1"/>
    </xf>
    <xf numFmtId="181" fontId="86" fillId="7" borderId="26" xfId="1690" applyNumberFormat="1" applyFont="1" applyFill="1" applyBorder="1" applyProtection="1">
      <protection locked="0" hidden="1"/>
    </xf>
    <xf numFmtId="0" fontId="86" fillId="7" borderId="27" xfId="1690" applyFont="1" applyFill="1" applyBorder="1" applyProtection="1">
      <protection locked="0" hidden="1"/>
    </xf>
    <xf numFmtId="181" fontId="11" fillId="0" borderId="0" xfId="3" applyNumberFormat="1" applyFont="1" applyFill="1" applyBorder="1" applyProtection="1">
      <protection hidden="1"/>
    </xf>
    <xf numFmtId="44" fontId="10" fillId="0" borderId="5" xfId="3" applyFont="1" applyFill="1" applyBorder="1" applyProtection="1">
      <protection hidden="1"/>
    </xf>
    <xf numFmtId="0" fontId="89" fillId="0" borderId="4" xfId="1688" applyFont="1" applyBorder="1" applyProtection="1">
      <protection hidden="1"/>
    </xf>
    <xf numFmtId="0" fontId="11" fillId="0" borderId="26" xfId="0" applyFont="1" applyBorder="1"/>
    <xf numFmtId="0" fontId="86" fillId="7" borderId="0" xfId="1690" applyFont="1" applyFill="1" applyBorder="1" applyProtection="1">
      <protection locked="0" hidden="1"/>
    </xf>
    <xf numFmtId="0" fontId="88" fillId="0" borderId="3" xfId="0" applyFont="1" applyBorder="1" applyProtection="1">
      <protection hidden="1"/>
    </xf>
    <xf numFmtId="0" fontId="90" fillId="0" borderId="5" xfId="0" applyFont="1" applyBorder="1" applyProtection="1">
      <protection hidden="1"/>
    </xf>
    <xf numFmtId="180" fontId="11" fillId="0" borderId="0" xfId="1690" applyNumberFormat="1" applyFont="1" applyFill="1" applyBorder="1" applyProtection="1">
      <protection hidden="1"/>
    </xf>
    <xf numFmtId="168" fontId="11" fillId="0" borderId="0" xfId="0" applyNumberFormat="1" applyFont="1" applyProtection="1">
      <protection hidden="1"/>
    </xf>
    <xf numFmtId="0" fontId="11" fillId="0" borderId="26" xfId="0" applyFont="1" applyBorder="1" applyProtection="1">
      <protection hidden="1"/>
    </xf>
    <xf numFmtId="180" fontId="88" fillId="0" borderId="5" xfId="1690" applyNumberFormat="1" applyFont="1" applyFill="1" applyBorder="1" applyProtection="1">
      <protection hidden="1"/>
    </xf>
    <xf numFmtId="0" fontId="11" fillId="7" borderId="0" xfId="0" applyFont="1" applyFill="1" applyProtection="1">
      <protection locked="0" hidden="1"/>
    </xf>
    <xf numFmtId="168" fontId="88" fillId="0" borderId="0" xfId="1690" applyNumberFormat="1" applyFont="1" applyFill="1" applyBorder="1" applyProtection="1">
      <protection hidden="1"/>
    </xf>
    <xf numFmtId="168" fontId="10" fillId="0" borderId="0" xfId="1690" applyNumberFormat="1" applyFont="1" applyFill="1" applyBorder="1" applyProtection="1">
      <protection hidden="1"/>
    </xf>
    <xf numFmtId="0" fontId="49" fillId="40" borderId="0" xfId="0" applyFont="1" applyFill="1"/>
    <xf numFmtId="0" fontId="11" fillId="0" borderId="21" xfId="0" applyFont="1" applyBorder="1" applyProtection="1">
      <protection hidden="1"/>
    </xf>
    <xf numFmtId="171" fontId="16" fillId="3" borderId="0" xfId="6" applyNumberFormat="1" applyFont="1" applyFill="1" applyAlignment="1" applyProtection="1">
      <alignment horizontal="left"/>
      <protection locked="0"/>
    </xf>
    <xf numFmtId="0" fontId="10" fillId="0" borderId="21" xfId="0" applyFont="1" applyBorder="1" applyProtection="1">
      <protection hidden="1"/>
    </xf>
    <xf numFmtId="0" fontId="11" fillId="0" borderId="22" xfId="0" applyFont="1" applyBorder="1" applyAlignment="1" applyProtection="1">
      <alignment horizontal="left"/>
      <protection hidden="1"/>
    </xf>
    <xf numFmtId="0" fontId="11" fillId="0" borderId="5" xfId="0" applyFont="1" applyBorder="1" applyAlignment="1" applyProtection="1">
      <alignment horizontal="left"/>
      <protection hidden="1"/>
    </xf>
    <xf numFmtId="166" fontId="10" fillId="0" borderId="5" xfId="3" applyNumberFormat="1" applyFont="1" applyBorder="1" applyAlignment="1" applyProtection="1">
      <alignment horizontal="left"/>
      <protection hidden="1"/>
    </xf>
    <xf numFmtId="171" fontId="10" fillId="0" borderId="5" xfId="6" applyNumberFormat="1" applyFont="1" applyBorder="1" applyAlignment="1" applyProtection="1">
      <alignment horizontal="left"/>
      <protection hidden="1"/>
    </xf>
    <xf numFmtId="0" fontId="11" fillId="0" borderId="27" xfId="0" applyFont="1" applyBorder="1" applyAlignment="1" applyProtection="1">
      <alignment horizontal="left"/>
      <protection hidden="1"/>
    </xf>
    <xf numFmtId="171" fontId="13" fillId="7" borderId="6" xfId="6" applyNumberFormat="1" applyFont="1" applyFill="1" applyBorder="1" applyAlignment="1" applyProtection="1">
      <alignment horizontal="center"/>
      <protection locked="0" hidden="1"/>
    </xf>
    <xf numFmtId="171" fontId="16" fillId="0" borderId="0" xfId="0" applyNumberFormat="1" applyFont="1" applyProtection="1">
      <protection hidden="1"/>
    </xf>
    <xf numFmtId="9" fontId="10" fillId="4" borderId="1" xfId="4" applyNumberFormat="1" applyFont="1" applyFill="1" applyBorder="1" applyAlignment="1" applyProtection="1">
      <alignment horizontal="center"/>
      <protection locked="0" hidden="1"/>
    </xf>
    <xf numFmtId="0" fontId="16" fillId="0" borderId="22" xfId="0" applyFont="1" applyBorder="1"/>
    <xf numFmtId="15" fontId="16" fillId="7" borderId="5" xfId="0" applyNumberFormat="1" applyFont="1" applyFill="1" applyBorder="1" applyProtection="1">
      <protection locked="0"/>
    </xf>
    <xf numFmtId="15" fontId="17" fillId="0" borderId="5" xfId="0" applyNumberFormat="1" applyFont="1" applyBorder="1"/>
    <xf numFmtId="15" fontId="17" fillId="0" borderId="27" xfId="0" applyNumberFormat="1" applyFont="1" applyBorder="1"/>
    <xf numFmtId="1" fontId="16" fillId="7" borderId="5" xfId="0" applyNumberFormat="1" applyFont="1" applyFill="1" applyBorder="1" applyProtection="1">
      <protection locked="0"/>
    </xf>
    <xf numFmtId="0" fontId="17" fillId="0" borderId="3" xfId="0" applyFont="1" applyBorder="1"/>
    <xf numFmtId="0" fontId="17" fillId="0" borderId="48" xfId="0" applyFont="1" applyBorder="1"/>
    <xf numFmtId="49" fontId="11" fillId="7" borderId="6" xfId="6" applyNumberFormat="1" applyFont="1" applyFill="1" applyBorder="1" applyAlignment="1" applyProtection="1">
      <alignment horizontal="center"/>
      <protection locked="0"/>
    </xf>
    <xf numFmtId="10" fontId="11" fillId="7" borderId="18" xfId="6" applyNumberFormat="1" applyFont="1" applyFill="1" applyBorder="1" applyAlignment="1" applyProtection="1">
      <alignment horizontal="center"/>
      <protection locked="0"/>
    </xf>
    <xf numFmtId="9" fontId="11" fillId="7" borderId="2" xfId="6" applyFont="1" applyFill="1" applyBorder="1" applyAlignment="1" applyProtection="1">
      <alignment horizontal="center"/>
      <protection locked="0"/>
    </xf>
    <xf numFmtId="168" fontId="11" fillId="7" borderId="0" xfId="1690" applyNumberFormat="1" applyFont="1" applyFill="1" applyBorder="1" applyProtection="1">
      <protection locked="0"/>
    </xf>
    <xf numFmtId="10" fontId="16" fillId="0" borderId="0" xfId="6" applyNumberFormat="1" applyFont="1" applyFill="1" applyAlignment="1" applyProtection="1">
      <alignment horizontal="right"/>
      <protection hidden="1"/>
    </xf>
    <xf numFmtId="166" fontId="16" fillId="0" borderId="0" xfId="3" applyNumberFormat="1" applyFont="1" applyProtection="1">
      <protection hidden="1"/>
    </xf>
    <xf numFmtId="0" fontId="34" fillId="6" borderId="29" xfId="4" applyFont="1" applyFill="1" applyBorder="1" applyAlignment="1" applyProtection="1">
      <alignment horizontal="center" vertical="center"/>
      <protection hidden="1"/>
    </xf>
    <xf numFmtId="0" fontId="34" fillId="6" borderId="30" xfId="4" applyFont="1" applyFill="1" applyBorder="1" applyAlignment="1" applyProtection="1">
      <alignment horizontal="center" vertical="center"/>
      <protection hidden="1"/>
    </xf>
    <xf numFmtId="0" fontId="34" fillId="6" borderId="43" xfId="4" applyFont="1" applyFill="1" applyBorder="1" applyAlignment="1" applyProtection="1">
      <alignment horizontal="center" vertical="center"/>
      <protection hidden="1"/>
    </xf>
    <xf numFmtId="0" fontId="34" fillId="6" borderId="25" xfId="4" applyFont="1" applyFill="1" applyBorder="1" applyAlignment="1" applyProtection="1">
      <alignment horizontal="center" vertical="center"/>
      <protection hidden="1"/>
    </xf>
    <xf numFmtId="0" fontId="34" fillId="6" borderId="37" xfId="4" applyFont="1" applyFill="1" applyBorder="1" applyAlignment="1" applyProtection="1">
      <alignment horizontal="center" vertical="center"/>
      <protection hidden="1"/>
    </xf>
    <xf numFmtId="0" fontId="46" fillId="0" borderId="0" xfId="4" applyFont="1" applyAlignment="1" applyProtection="1">
      <alignment horizontal="left" indent="1"/>
      <protection locked="0"/>
    </xf>
    <xf numFmtId="164" fontId="81" fillId="6" borderId="0" xfId="0" applyNumberFormat="1" applyFont="1" applyFill="1" applyAlignment="1" applyProtection="1">
      <alignment horizontal="center"/>
      <protection hidden="1"/>
    </xf>
    <xf numFmtId="170" fontId="10" fillId="0" borderId="11" xfId="3" applyNumberFormat="1" applyFont="1" applyBorder="1" applyAlignment="1" applyProtection="1">
      <alignment horizontal="center"/>
      <protection hidden="1"/>
    </xf>
    <xf numFmtId="0" fontId="11" fillId="0" borderId="6" xfId="4" applyFont="1" applyBorder="1" applyAlignment="1" applyProtection="1">
      <alignment horizontal="center"/>
      <protection hidden="1"/>
    </xf>
    <xf numFmtId="0" fontId="10" fillId="0" borderId="6" xfId="4" applyFont="1" applyBorder="1" applyAlignment="1" applyProtection="1">
      <alignment horizontal="center" vertical="center" wrapText="1"/>
      <protection hidden="1"/>
    </xf>
    <xf numFmtId="0" fontId="39" fillId="0" borderId="0" xfId="0" applyFont="1" applyAlignment="1">
      <alignment horizontal="left" vertical="center"/>
    </xf>
    <xf numFmtId="0" fontId="41" fillId="0" borderId="0" xfId="0" applyFont="1" applyAlignment="1">
      <alignment horizontal="center" vertical="top"/>
    </xf>
    <xf numFmtId="0" fontId="16" fillId="3" borderId="0" xfId="0" applyFont="1" applyFill="1" applyAlignment="1" applyProtection="1">
      <alignment horizontal="left"/>
      <protection hidden="1"/>
    </xf>
    <xf numFmtId="15" fontId="46" fillId="7" borderId="0" xfId="4" applyNumberFormat="1" applyFont="1" applyFill="1" applyAlignment="1" applyProtection="1">
      <alignment horizontal="center"/>
      <protection locked="0"/>
    </xf>
    <xf numFmtId="0" fontId="22" fillId="0" borderId="21" xfId="0" applyFont="1" applyBorder="1"/>
    <xf numFmtId="169" fontId="0" fillId="0" borderId="22" xfId="3" applyNumberFormat="1" applyFont="1" applyBorder="1"/>
    <xf numFmtId="0" fontId="8" fillId="0" borderId="3" xfId="0" applyFont="1" applyBorder="1"/>
    <xf numFmtId="169" fontId="8" fillId="7" borderId="5" xfId="3" applyNumberFormat="1" applyFont="1" applyFill="1" applyBorder="1" applyProtection="1">
      <protection locked="0"/>
    </xf>
    <xf numFmtId="169" fontId="0" fillId="7" borderId="5" xfId="3" applyNumberFormat="1" applyFont="1" applyFill="1" applyBorder="1" applyProtection="1">
      <protection locked="0"/>
    </xf>
    <xf numFmtId="169" fontId="0" fillId="0" borderId="5" xfId="3" applyNumberFormat="1" applyFont="1" applyFill="1" applyBorder="1" applyProtection="1"/>
    <xf numFmtId="174" fontId="0" fillId="7" borderId="5" xfId="3" applyNumberFormat="1" applyFont="1" applyFill="1" applyBorder="1" applyProtection="1">
      <protection locked="0"/>
    </xf>
    <xf numFmtId="169" fontId="0" fillId="0" borderId="36" xfId="3" applyNumberFormat="1" applyFont="1" applyBorder="1" applyProtection="1"/>
    <xf numFmtId="0" fontId="22" fillId="0" borderId="3" xfId="0" applyFont="1" applyBorder="1"/>
    <xf numFmtId="169" fontId="22" fillId="0" borderId="41" xfId="3" applyNumberFormat="1" applyFont="1" applyBorder="1" applyProtection="1"/>
    <xf numFmtId="169" fontId="22" fillId="0" borderId="5" xfId="3" applyNumberFormat="1" applyFont="1" applyBorder="1" applyProtection="1"/>
    <xf numFmtId="169" fontId="0" fillId="0" borderId="5" xfId="3" applyNumberFormat="1" applyFont="1" applyBorder="1" applyProtection="1"/>
    <xf numFmtId="0" fontId="8" fillId="0" borderId="48" xfId="0" applyFont="1" applyBorder="1"/>
    <xf numFmtId="174" fontId="0" fillId="0" borderId="5" xfId="3" applyNumberFormat="1" applyFont="1" applyBorder="1" applyProtection="1"/>
    <xf numFmtId="0" fontId="0" fillId="0" borderId="22" xfId="0" applyBorder="1"/>
    <xf numFmtId="10" fontId="0" fillId="7" borderId="5" xfId="6" applyNumberFormat="1" applyFont="1" applyFill="1" applyBorder="1" applyProtection="1">
      <protection locked="0"/>
    </xf>
    <xf numFmtId="1" fontId="0" fillId="7" borderId="5" xfId="6" applyNumberFormat="1" applyFont="1" applyFill="1" applyBorder="1" applyProtection="1">
      <protection locked="0"/>
    </xf>
    <xf numFmtId="10" fontId="0" fillId="7" borderId="5" xfId="0" applyNumberFormat="1" applyFill="1" applyBorder="1" applyProtection="1">
      <protection locked="0"/>
    </xf>
    <xf numFmtId="0" fontId="0" fillId="0" borderId="3" xfId="0" applyBorder="1"/>
    <xf numFmtId="0" fontId="0" fillId="0" borderId="5" xfId="0" applyBorder="1"/>
    <xf numFmtId="169" fontId="0" fillId="7" borderId="27" xfId="3" applyNumberFormat="1" applyFont="1" applyFill="1" applyBorder="1" applyProtection="1">
      <protection locked="0"/>
    </xf>
    <xf numFmtId="10" fontId="22" fillId="0" borderId="27" xfId="6" applyNumberFormat="1" applyFont="1" applyBorder="1" applyProtection="1"/>
    <xf numFmtId="0" fontId="24" fillId="0" borderId="35" xfId="0" applyFont="1" applyBorder="1" applyAlignment="1">
      <alignment horizontal="left" vertical="center"/>
    </xf>
    <xf numFmtId="0" fontId="24" fillId="5" borderId="35" xfId="0" applyFont="1" applyFill="1" applyBorder="1" applyAlignment="1">
      <alignment horizontal="left" vertical="center"/>
    </xf>
    <xf numFmtId="0" fontId="8" fillId="5" borderId="35" xfId="0" applyFont="1" applyFill="1" applyBorder="1" applyAlignment="1">
      <alignment horizontal="left"/>
    </xf>
    <xf numFmtId="166" fontId="24" fillId="0" borderId="0" xfId="0" applyNumberFormat="1" applyFont="1" applyAlignment="1">
      <alignment horizontal="left"/>
    </xf>
    <xf numFmtId="10" fontId="16" fillId="41" borderId="0" xfId="0" applyNumberFormat="1" applyFont="1" applyFill="1" applyAlignment="1" applyProtection="1">
      <alignment horizontal="center"/>
      <protection hidden="1"/>
    </xf>
    <xf numFmtId="0" fontId="84" fillId="0" borderId="6" xfId="4" applyFont="1" applyBorder="1" applyAlignment="1" applyProtection="1">
      <alignment horizontal="center" vertical="center" wrapText="1"/>
      <protection hidden="1"/>
    </xf>
    <xf numFmtId="10" fontId="16" fillId="3" borderId="0" xfId="4" applyNumberFormat="1" applyFont="1" applyFill="1" applyAlignment="1">
      <alignment horizontal="center"/>
    </xf>
    <xf numFmtId="10" fontId="16" fillId="7" borderId="0" xfId="0" applyNumberFormat="1" applyFont="1" applyFill="1" applyAlignment="1" applyProtection="1">
      <alignment horizontal="center"/>
      <protection hidden="1"/>
    </xf>
    <xf numFmtId="0" fontId="16" fillId="7" borderId="0" xfId="0" applyFont="1" applyFill="1" applyProtection="1">
      <protection hidden="1"/>
    </xf>
    <xf numFmtId="2" fontId="16" fillId="3" borderId="0" xfId="4" applyNumberFormat="1" applyFont="1" applyFill="1" applyProtection="1">
      <protection locked="0"/>
    </xf>
    <xf numFmtId="2" fontId="16" fillId="0" borderId="0" xfId="0" applyNumberFormat="1" applyFont="1" applyProtection="1">
      <protection hidden="1"/>
    </xf>
    <xf numFmtId="15" fontId="64" fillId="0" borderId="0" xfId="0" applyNumberFormat="1" applyFont="1"/>
    <xf numFmtId="0" fontId="64" fillId="0" borderId="0" xfId="0" applyFont="1"/>
    <xf numFmtId="0" fontId="14" fillId="0" borderId="0" xfId="0" applyFont="1"/>
    <xf numFmtId="8" fontId="11" fillId="0" borderId="0" xfId="0" applyNumberFormat="1" applyFont="1" applyAlignment="1">
      <alignment horizontal="right"/>
    </xf>
    <xf numFmtId="0" fontId="11" fillId="0" borderId="0" xfId="0" applyFont="1" applyAlignment="1">
      <alignment horizontal="right"/>
    </xf>
    <xf numFmtId="0" fontId="10" fillId="0" borderId="0" xfId="0" applyFont="1"/>
    <xf numFmtId="0" fontId="10" fillId="0" borderId="0" xfId="0" applyFont="1" applyAlignment="1">
      <alignment horizontal="left"/>
    </xf>
    <xf numFmtId="8" fontId="10" fillId="0" borderId="0" xfId="0" applyNumberFormat="1" applyFont="1" applyAlignment="1">
      <alignment horizontal="right"/>
    </xf>
    <xf numFmtId="0" fontId="10" fillId="0" borderId="48" xfId="0" applyFont="1" applyBorder="1" applyProtection="1">
      <protection hidden="1"/>
    </xf>
    <xf numFmtId="44" fontId="86" fillId="7" borderId="0" xfId="3" applyFont="1" applyFill="1" applyBorder="1" applyProtection="1">
      <protection locked="0" hidden="1"/>
    </xf>
    <xf numFmtId="44" fontId="86" fillId="0" borderId="0" xfId="1690" applyNumberFormat="1" applyFont="1" applyFill="1" applyBorder="1" applyProtection="1">
      <protection hidden="1"/>
    </xf>
    <xf numFmtId="0" fontId="88" fillId="0" borderId="4" xfId="0" applyFont="1" applyBorder="1" applyProtection="1">
      <protection hidden="1"/>
    </xf>
    <xf numFmtId="0" fontId="86" fillId="0" borderId="0" xfId="0" applyFont="1" applyProtection="1">
      <protection hidden="1"/>
    </xf>
    <xf numFmtId="0" fontId="11" fillId="0" borderId="5" xfId="0" applyFont="1" applyBorder="1"/>
    <xf numFmtId="0" fontId="10" fillId="0" borderId="3" xfId="0" applyFont="1" applyBorder="1" applyProtection="1">
      <protection hidden="1"/>
    </xf>
    <xf numFmtId="44" fontId="10" fillId="0" borderId="0" xfId="0" applyNumberFormat="1" applyFont="1" applyProtection="1">
      <protection hidden="1"/>
    </xf>
    <xf numFmtId="0" fontId="48" fillId="0" borderId="8" xfId="0" applyFont="1" applyBorder="1" applyAlignment="1">
      <alignment horizontal="center" vertical="center"/>
    </xf>
    <xf numFmtId="0" fontId="48" fillId="0" borderId="6" xfId="0" applyFont="1" applyBorder="1" applyAlignment="1">
      <alignment horizontal="center" vertical="center"/>
    </xf>
    <xf numFmtId="166" fontId="48" fillId="0" borderId="6" xfId="0" applyNumberFormat="1" applyFont="1" applyBorder="1" applyAlignment="1">
      <alignment horizontal="center" vertical="center"/>
    </xf>
    <xf numFmtId="166" fontId="20" fillId="0" borderId="17" xfId="0" applyNumberFormat="1" applyFont="1" applyBorder="1" applyAlignment="1">
      <alignment horizontal="center" vertical="center"/>
    </xf>
    <xf numFmtId="166" fontId="48" fillId="0" borderId="14" xfId="0" applyNumberFormat="1" applyFont="1" applyBorder="1" applyAlignment="1">
      <alignment horizontal="center" vertical="center"/>
    </xf>
    <xf numFmtId="166" fontId="20" fillId="0" borderId="2" xfId="0" applyNumberFormat="1" applyFont="1" applyBorder="1" applyAlignment="1">
      <alignment horizontal="center" vertical="center"/>
    </xf>
    <xf numFmtId="166" fontId="16" fillId="7" borderId="9" xfId="3" applyNumberFormat="1" applyFont="1" applyFill="1" applyBorder="1" applyAlignment="1" applyProtection="1">
      <alignment horizontal="center" vertical="center"/>
      <protection locked="0"/>
    </xf>
    <xf numFmtId="168" fontId="16" fillId="7" borderId="10" xfId="0" applyNumberFormat="1" applyFont="1" applyFill="1" applyBorder="1" applyAlignment="1" applyProtection="1">
      <alignment horizontal="center" vertical="center"/>
      <protection locked="0"/>
    </xf>
    <xf numFmtId="166" fontId="16" fillId="0" borderId="10" xfId="4" applyNumberFormat="1" applyFont="1" applyBorder="1" applyAlignment="1" applyProtection="1">
      <alignment horizontal="center" vertical="center"/>
      <protection hidden="1"/>
    </xf>
    <xf numFmtId="0" fontId="50" fillId="0" borderId="0" xfId="4" applyFont="1" applyAlignment="1" applyProtection="1">
      <alignment vertical="center"/>
      <protection hidden="1"/>
    </xf>
    <xf numFmtId="0" fontId="50" fillId="0" borderId="5" xfId="4" applyFont="1" applyBorder="1" applyAlignment="1" applyProtection="1">
      <alignment vertical="center"/>
      <protection hidden="1"/>
    </xf>
    <xf numFmtId="0" fontId="48" fillId="0" borderId="17" xfId="0" applyFont="1" applyBorder="1" applyAlignment="1">
      <alignment horizontal="center" vertical="center"/>
    </xf>
    <xf numFmtId="0" fontId="48" fillId="0" borderId="13" xfId="0" applyFont="1" applyBorder="1" applyAlignment="1">
      <alignment horizontal="center" vertical="center"/>
    </xf>
    <xf numFmtId="0" fontId="48" fillId="0" borderId="38" xfId="0" applyFont="1" applyBorder="1" applyAlignment="1">
      <alignment horizontal="center" vertical="center"/>
    </xf>
    <xf numFmtId="166" fontId="16" fillId="7" borderId="52" xfId="3" applyNumberFormat="1" applyFont="1" applyFill="1" applyBorder="1" applyAlignment="1" applyProtection="1">
      <alignment horizontal="center" vertical="center"/>
      <protection locked="0"/>
    </xf>
    <xf numFmtId="168" fontId="16" fillId="7" borderId="49" xfId="0" applyNumberFormat="1" applyFont="1" applyFill="1" applyBorder="1" applyAlignment="1" applyProtection="1">
      <alignment horizontal="center" vertical="center"/>
      <protection locked="0"/>
    </xf>
    <xf numFmtId="166" fontId="16" fillId="0" borderId="14" xfId="4" applyNumberFormat="1" applyFont="1" applyBorder="1" applyAlignment="1" applyProtection="1">
      <alignment horizontal="center" vertical="center"/>
      <protection hidden="1"/>
    </xf>
    <xf numFmtId="166" fontId="16" fillId="7" borderId="13" xfId="3" applyNumberFormat="1" applyFont="1" applyFill="1" applyBorder="1" applyAlignment="1" applyProtection="1">
      <alignment horizontal="center" vertical="center"/>
      <protection locked="0"/>
    </xf>
    <xf numFmtId="168" fontId="16" fillId="7" borderId="14" xfId="0" applyNumberFormat="1" applyFont="1" applyFill="1" applyBorder="1" applyAlignment="1" applyProtection="1">
      <alignment horizontal="center" vertical="center"/>
      <protection locked="0"/>
    </xf>
    <xf numFmtId="166" fontId="16" fillId="0" borderId="39" xfId="4" applyNumberFormat="1" applyFont="1" applyBorder="1" applyAlignment="1" applyProtection="1">
      <alignment horizontal="center" vertical="center"/>
      <protection hidden="1"/>
    </xf>
    <xf numFmtId="168" fontId="16" fillId="7" borderId="50" xfId="0" applyNumberFormat="1" applyFont="1" applyFill="1" applyBorder="1" applyAlignment="1" applyProtection="1">
      <alignment horizontal="center" vertical="center"/>
      <protection locked="0"/>
    </xf>
    <xf numFmtId="168" fontId="16" fillId="7" borderId="0" xfId="0" applyNumberFormat="1" applyFont="1" applyFill="1" applyAlignment="1" applyProtection="1">
      <alignment horizontal="center" vertical="center"/>
      <protection locked="0"/>
    </xf>
    <xf numFmtId="168" fontId="16" fillId="0" borderId="3" xfId="0" applyNumberFormat="1" applyFont="1" applyBorder="1" applyAlignment="1">
      <alignment horizontal="center" vertical="center"/>
    </xf>
    <xf numFmtId="168" fontId="16" fillId="0" borderId="0" xfId="0" applyNumberFormat="1" applyFont="1" applyAlignment="1">
      <alignment horizontal="center" vertical="center"/>
    </xf>
    <xf numFmtId="166" fontId="16" fillId="0" borderId="0" xfId="0" applyNumberFormat="1" applyFont="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168" fontId="17" fillId="0" borderId="48" xfId="0" applyNumberFormat="1" applyFont="1" applyBorder="1" applyAlignment="1">
      <alignment horizontal="left" vertical="center"/>
    </xf>
    <xf numFmtId="168" fontId="16" fillId="0" borderId="26" xfId="0" applyNumberFormat="1" applyFont="1" applyBorder="1" applyAlignment="1">
      <alignment horizontal="center" vertical="center"/>
    </xf>
    <xf numFmtId="0" fontId="16" fillId="0" borderId="26" xfId="0" applyFont="1" applyBorder="1" applyAlignment="1">
      <alignment vertical="center"/>
    </xf>
    <xf numFmtId="168" fontId="16" fillId="7" borderId="51" xfId="0" applyNumberFormat="1" applyFont="1" applyFill="1" applyBorder="1" applyAlignment="1" applyProtection="1">
      <alignment horizontal="center" vertical="center"/>
      <protection locked="0"/>
    </xf>
    <xf numFmtId="166" fontId="16" fillId="0" borderId="6" xfId="4" applyNumberFormat="1" applyFont="1" applyBorder="1" applyAlignment="1" applyProtection="1">
      <alignment horizontal="center" vertical="center"/>
      <protection hidden="1"/>
    </xf>
    <xf numFmtId="0" fontId="50" fillId="0" borderId="25" xfId="4" applyFont="1" applyBorder="1" applyAlignment="1" applyProtection="1">
      <alignment vertical="center"/>
      <protection hidden="1"/>
    </xf>
    <xf numFmtId="0" fontId="50" fillId="0" borderId="37" xfId="4" applyFont="1" applyBorder="1" applyAlignment="1" applyProtection="1">
      <alignment vertical="center"/>
      <protection hidden="1"/>
    </xf>
    <xf numFmtId="0" fontId="43" fillId="6" borderId="0" xfId="0" applyFont="1" applyFill="1" applyAlignment="1">
      <alignment horizontal="left"/>
    </xf>
    <xf numFmtId="166" fontId="20" fillId="42" borderId="7" xfId="0" applyNumberFormat="1" applyFont="1" applyFill="1" applyBorder="1" applyAlignment="1">
      <alignment horizontal="center" vertical="center"/>
    </xf>
    <xf numFmtId="166" fontId="20" fillId="42" borderId="12" xfId="0" applyNumberFormat="1" applyFont="1" applyFill="1" applyBorder="1" applyAlignment="1">
      <alignment horizontal="center" vertical="center"/>
    </xf>
    <xf numFmtId="0" fontId="100" fillId="0" borderId="0" xfId="0" applyFont="1"/>
    <xf numFmtId="0" fontId="101" fillId="0" borderId="0" xfId="0" applyFont="1"/>
    <xf numFmtId="0" fontId="101" fillId="0" borderId="0" xfId="0" applyFont="1" applyAlignment="1">
      <alignment wrapText="1"/>
    </xf>
    <xf numFmtId="0" fontId="102" fillId="0" borderId="0" xfId="0" applyFont="1"/>
    <xf numFmtId="9" fontId="101" fillId="0" borderId="0" xfId="6" applyFont="1"/>
    <xf numFmtId="0" fontId="103" fillId="0" borderId="0" xfId="0" applyFont="1" applyAlignment="1">
      <alignment vertical="center"/>
    </xf>
    <xf numFmtId="0" fontId="47" fillId="0" borderId="0" xfId="0" applyFont="1" applyAlignment="1">
      <alignment wrapText="1"/>
    </xf>
    <xf numFmtId="0" fontId="17" fillId="0" borderId="0" xfId="0" applyFont="1" applyAlignment="1" applyProtection="1">
      <alignment horizontal="center" vertical="center"/>
      <protection hidden="1"/>
    </xf>
    <xf numFmtId="10" fontId="16" fillId="3" borderId="0" xfId="0" applyNumberFormat="1" applyFont="1" applyFill="1" applyAlignment="1" applyProtection="1">
      <alignment horizontal="center" vertical="center"/>
      <protection hidden="1"/>
    </xf>
    <xf numFmtId="0" fontId="14" fillId="0" borderId="0" xfId="0" applyFont="1" applyAlignment="1">
      <alignment horizontal="left" vertical="center"/>
    </xf>
    <xf numFmtId="182" fontId="14" fillId="0" borderId="0" xfId="0" applyNumberFormat="1" applyFont="1" applyAlignment="1">
      <alignment horizontal="center" vertical="center"/>
    </xf>
    <xf numFmtId="0" fontId="101" fillId="39" borderId="6" xfId="0" applyFont="1" applyFill="1" applyBorder="1" applyProtection="1">
      <protection locked="0"/>
    </xf>
    <xf numFmtId="9" fontId="16" fillId="39" borderId="0" xfId="0" applyNumberFormat="1" applyFont="1" applyFill="1" applyProtection="1">
      <protection hidden="1"/>
    </xf>
    <xf numFmtId="14" fontId="14" fillId="0" borderId="0" xfId="0" applyNumberFormat="1" applyFont="1"/>
    <xf numFmtId="172" fontId="14" fillId="0" borderId="0" xfId="0" applyNumberFormat="1" applyFont="1" applyAlignment="1">
      <alignment horizontal="center" vertical="center"/>
    </xf>
    <xf numFmtId="0" fontId="14" fillId="0" borderId="0" xfId="0" applyFont="1" applyAlignment="1">
      <alignment vertical="center"/>
    </xf>
    <xf numFmtId="49" fontId="17" fillId="0" borderId="0" xfId="4" applyNumberFormat="1" applyFont="1" applyAlignment="1" applyProtection="1">
      <alignment horizontal="left"/>
      <protection hidden="1"/>
    </xf>
    <xf numFmtId="0" fontId="104" fillId="43" borderId="69" xfId="0" applyFont="1" applyFill="1" applyBorder="1"/>
    <xf numFmtId="0" fontId="104" fillId="43" borderId="70" xfId="4" applyFont="1" applyFill="1" applyBorder="1" applyAlignment="1">
      <alignment horizontal="left"/>
    </xf>
    <xf numFmtId="0" fontId="104" fillId="44" borderId="71" xfId="0" applyFont="1" applyFill="1" applyBorder="1"/>
    <xf numFmtId="0" fontId="104" fillId="44" borderId="68" xfId="4" applyFont="1" applyFill="1" applyBorder="1" applyAlignment="1">
      <alignment horizontal="left"/>
    </xf>
    <xf numFmtId="0" fontId="104" fillId="43" borderId="71" xfId="0" applyFont="1" applyFill="1" applyBorder="1"/>
    <xf numFmtId="0" fontId="104" fillId="43" borderId="68" xfId="5" applyFont="1" applyFill="1" applyBorder="1" applyAlignment="1">
      <alignment horizontal="left"/>
    </xf>
    <xf numFmtId="0" fontId="104" fillId="44" borderId="68" xfId="0" applyFont="1" applyFill="1" applyBorder="1"/>
    <xf numFmtId="0" fontId="104" fillId="44" borderId="68" xfId="5" applyFont="1" applyFill="1" applyBorder="1" applyAlignment="1">
      <alignment horizontal="left"/>
    </xf>
    <xf numFmtId="0" fontId="104" fillId="43" borderId="71" xfId="0" applyFont="1" applyFill="1" applyBorder="1" applyAlignment="1">
      <alignment horizontal="left"/>
    </xf>
    <xf numFmtId="0" fontId="104" fillId="43" borderId="68" xfId="0" applyFont="1" applyFill="1" applyBorder="1" applyAlignment="1">
      <alignment horizontal="left"/>
    </xf>
    <xf numFmtId="0" fontId="16" fillId="3" borderId="0" xfId="0" applyFont="1" applyFill="1" applyProtection="1">
      <protection hidden="1"/>
    </xf>
    <xf numFmtId="1" fontId="16" fillId="0" borderId="0" xfId="4" applyNumberFormat="1" applyFont="1" applyAlignment="1" applyProtection="1">
      <alignment horizontal="center"/>
      <protection hidden="1"/>
    </xf>
    <xf numFmtId="0" fontId="16" fillId="0" borderId="0" xfId="4" applyFont="1" applyAlignment="1" applyProtection="1">
      <alignment horizontal="left"/>
      <protection locked="0"/>
    </xf>
    <xf numFmtId="0" fontId="16" fillId="3" borderId="0" xfId="4" applyFont="1" applyFill="1" applyAlignment="1" applyProtection="1">
      <alignment horizontal="left"/>
      <protection hidden="1"/>
    </xf>
    <xf numFmtId="0" fontId="16" fillId="3" borderId="0" xfId="5" applyFont="1" applyFill="1" applyAlignment="1" applyProtection="1">
      <alignment horizontal="left"/>
      <protection hidden="1"/>
    </xf>
    <xf numFmtId="9" fontId="16" fillId="0" borderId="0" xfId="6" applyFont="1" applyFill="1" applyAlignment="1" applyProtection="1">
      <alignment horizontal="center"/>
      <protection locked="0"/>
    </xf>
    <xf numFmtId="166" fontId="16" fillId="0" borderId="0" xfId="0" applyNumberFormat="1" applyFont="1" applyAlignment="1" applyProtection="1">
      <alignment horizontal="center"/>
      <protection hidden="1"/>
    </xf>
    <xf numFmtId="0" fontId="0" fillId="0" borderId="0" xfId="0" applyAlignment="1">
      <alignment horizontal="center"/>
    </xf>
    <xf numFmtId="169" fontId="16" fillId="0" borderId="0" xfId="3" applyNumberFormat="1" applyFont="1" applyAlignment="1">
      <alignment horizontal="center"/>
    </xf>
    <xf numFmtId="0" fontId="8" fillId="0" borderId="0" xfId="0" applyFont="1" applyAlignment="1">
      <alignment horizontal="center"/>
    </xf>
    <xf numFmtId="169" fontId="16" fillId="0" borderId="0" xfId="4" applyNumberFormat="1" applyFont="1" applyAlignment="1" applyProtection="1">
      <alignment horizontal="center"/>
      <protection hidden="1"/>
    </xf>
    <xf numFmtId="0" fontId="16" fillId="0" borderId="0" xfId="0" applyFont="1" applyAlignment="1" applyProtection="1">
      <alignment horizontal="center"/>
      <protection locked="0"/>
    </xf>
    <xf numFmtId="1" fontId="16" fillId="0" borderId="0" xfId="4" applyNumberFormat="1" applyFont="1" applyAlignment="1" applyProtection="1">
      <alignment horizontal="center"/>
      <protection locked="0"/>
    </xf>
    <xf numFmtId="49" fontId="16" fillId="0" borderId="0" xfId="4" applyNumberFormat="1" applyFont="1" applyAlignment="1" applyProtection="1">
      <alignment horizontal="center"/>
      <protection hidden="1"/>
    </xf>
    <xf numFmtId="166" fontId="16" fillId="3" borderId="0" xfId="0" applyNumberFormat="1" applyFont="1" applyFill="1" applyAlignment="1" applyProtection="1">
      <alignment horizontal="center"/>
      <protection locked="0"/>
    </xf>
    <xf numFmtId="10" fontId="16" fillId="0" borderId="0" xfId="6" applyNumberFormat="1" applyFont="1" applyAlignment="1" applyProtection="1">
      <alignment horizontal="center"/>
      <protection hidden="1"/>
    </xf>
    <xf numFmtId="166" fontId="16" fillId="0" borderId="0" xfId="4" applyNumberFormat="1" applyFont="1" applyAlignment="1" applyProtection="1">
      <alignment horizontal="center"/>
      <protection hidden="1"/>
    </xf>
    <xf numFmtId="0" fontId="39" fillId="0" borderId="0" xfId="0" applyFont="1" applyAlignment="1">
      <alignment horizontal="center" vertical="center"/>
    </xf>
    <xf numFmtId="0" fontId="38" fillId="0" borderId="0" xfId="0" applyFont="1" applyAlignment="1">
      <alignment horizontal="center" vertical="center" wrapText="1"/>
    </xf>
    <xf numFmtId="169" fontId="16" fillId="0" borderId="0" xfId="3" applyNumberFormat="1" applyFont="1" applyAlignment="1" applyProtection="1">
      <alignment horizontal="center"/>
      <protection hidden="1"/>
    </xf>
    <xf numFmtId="9" fontId="16" fillId="0" borderId="0" xfId="0" applyNumberFormat="1" applyFont="1" applyAlignment="1" applyProtection="1">
      <alignment horizontal="center"/>
      <protection hidden="1"/>
    </xf>
    <xf numFmtId="10" fontId="16" fillId="45" borderId="0" xfId="0" applyNumberFormat="1" applyFont="1" applyFill="1" applyProtection="1">
      <protection hidden="1"/>
    </xf>
    <xf numFmtId="169" fontId="0" fillId="0" borderId="0" xfId="3339" applyNumberFormat="1" applyFont="1"/>
    <xf numFmtId="169" fontId="25" fillId="0" borderId="0" xfId="3339" applyNumberFormat="1" applyFont="1" applyBorder="1" applyAlignment="1">
      <alignment horizontal="center"/>
    </xf>
    <xf numFmtId="176" fontId="25" fillId="0" borderId="0" xfId="3339" applyNumberFormat="1" applyFont="1" applyBorder="1" applyAlignment="1">
      <alignment horizontal="center"/>
    </xf>
    <xf numFmtId="175" fontId="22" fillId="0" borderId="0" xfId="3339" applyNumberFormat="1" applyFont="1"/>
    <xf numFmtId="166" fontId="24" fillId="5" borderId="35" xfId="0" applyNumberFormat="1" applyFont="1" applyFill="1" applyBorder="1" applyAlignment="1">
      <alignment horizontal="left"/>
    </xf>
    <xf numFmtId="3" fontId="22" fillId="0" borderId="0" xfId="0" applyNumberFormat="1" applyFont="1"/>
    <xf numFmtId="169" fontId="25" fillId="0" borderId="0" xfId="3" applyNumberFormat="1" applyFont="1" applyBorder="1" applyAlignment="1">
      <alignment horizontal="center"/>
    </xf>
    <xf numFmtId="166" fontId="24" fillId="5" borderId="0" xfId="0" applyNumberFormat="1" applyFont="1" applyFill="1" applyAlignment="1">
      <alignment horizontal="left"/>
    </xf>
    <xf numFmtId="166" fontId="24" fillId="5" borderId="25" xfId="0" applyNumberFormat="1" applyFont="1" applyFill="1" applyBorder="1" applyAlignment="1">
      <alignment horizontal="left"/>
    </xf>
    <xf numFmtId="0" fontId="61" fillId="0" borderId="0" xfId="4" applyFont="1" applyAlignment="1" applyProtection="1">
      <alignment horizontal="center"/>
      <protection locked="0"/>
    </xf>
    <xf numFmtId="0" fontId="62" fillId="0" borderId="0" xfId="4" applyFont="1" applyAlignment="1" applyProtection="1">
      <alignment horizontal="center"/>
      <protection locked="0"/>
    </xf>
    <xf numFmtId="0" fontId="46" fillId="0" borderId="0" xfId="4" applyFont="1" applyAlignment="1" applyProtection="1">
      <alignment horizontal="center"/>
      <protection locked="0"/>
    </xf>
    <xf numFmtId="172" fontId="0" fillId="0" borderId="0" xfId="0" applyNumberFormat="1" applyAlignment="1">
      <alignment horizontal="center"/>
    </xf>
    <xf numFmtId="17" fontId="54" fillId="6" borderId="4" xfId="4" applyNumberFormat="1" applyFont="1" applyFill="1" applyBorder="1" applyProtection="1">
      <protection hidden="1"/>
    </xf>
    <xf numFmtId="1" fontId="25" fillId="0" borderId="0" xfId="3" applyNumberFormat="1" applyFont="1" applyBorder="1" applyAlignment="1">
      <alignment horizontal="center"/>
    </xf>
    <xf numFmtId="1" fontId="0" fillId="0" borderId="0" xfId="0" applyNumberFormat="1"/>
    <xf numFmtId="0" fontId="105" fillId="0" borderId="0" xfId="0" applyFont="1" applyAlignment="1">
      <alignment horizontal="center" vertical="center" wrapText="1"/>
    </xf>
    <xf numFmtId="0" fontId="11" fillId="46" borderId="0" xfId="0" applyFont="1" applyFill="1"/>
    <xf numFmtId="168" fontId="75" fillId="12" borderId="59" xfId="16" applyNumberFormat="1"/>
    <xf numFmtId="0" fontId="106" fillId="7" borderId="6" xfId="12" applyFont="1" applyFill="1" applyBorder="1"/>
    <xf numFmtId="0" fontId="71" fillId="7" borderId="6" xfId="12" applyFill="1" applyBorder="1"/>
    <xf numFmtId="168" fontId="43" fillId="13" borderId="62" xfId="18" applyNumberFormat="1"/>
    <xf numFmtId="10" fontId="75" fillId="12" borderId="6" xfId="16" applyNumberFormat="1" applyBorder="1"/>
    <xf numFmtId="168" fontId="108" fillId="14" borderId="56" xfId="19" applyNumberFormat="1" applyFont="1" applyFill="1" applyBorder="1"/>
    <xf numFmtId="0" fontId="43" fillId="13" borderId="62" xfId="18"/>
    <xf numFmtId="0" fontId="73" fillId="11" borderId="59" xfId="14" applyNumberFormat="1"/>
    <xf numFmtId="0" fontId="16" fillId="40" borderId="0" xfId="4165" applyFont="1" applyFill="1"/>
    <xf numFmtId="0" fontId="114" fillId="40" borderId="0" xfId="4165" applyFont="1" applyFill="1" applyAlignment="1">
      <alignment horizontal="left"/>
    </xf>
    <xf numFmtId="0" fontId="1" fillId="0" borderId="0" xfId="4165"/>
    <xf numFmtId="0" fontId="16" fillId="0" borderId="0" xfId="4165" applyFont="1"/>
    <xf numFmtId="0" fontId="114" fillId="0" borderId="0" xfId="4165" applyFont="1" applyAlignment="1">
      <alignment horizontal="left"/>
    </xf>
    <xf numFmtId="0" fontId="20" fillId="0" borderId="0" xfId="4165" applyFont="1"/>
    <xf numFmtId="168" fontId="113" fillId="14" borderId="63" xfId="4166" applyNumberFormat="1" applyFont="1"/>
    <xf numFmtId="168" fontId="111" fillId="14" borderId="63" xfId="4166" applyNumberFormat="1" applyFont="1"/>
    <xf numFmtId="0" fontId="110" fillId="0" borderId="0" xfId="4165" applyFont="1"/>
    <xf numFmtId="168" fontId="109" fillId="14" borderId="63" xfId="4166" applyNumberFormat="1" applyFont="1"/>
    <xf numFmtId="10" fontId="1" fillId="0" borderId="0" xfId="4165" applyNumberFormat="1"/>
    <xf numFmtId="0" fontId="107" fillId="0" borderId="6" xfId="4165" applyFont="1" applyBorder="1" applyAlignment="1">
      <alignment horizontal="center"/>
    </xf>
    <xf numFmtId="0" fontId="107" fillId="0" borderId="0" xfId="4165" applyFont="1" applyAlignment="1">
      <alignment horizontal="center"/>
    </xf>
    <xf numFmtId="0" fontId="1" fillId="0" borderId="6" xfId="4165" applyBorder="1"/>
    <xf numFmtId="168" fontId="1" fillId="0" borderId="0" xfId="4165" applyNumberFormat="1"/>
    <xf numFmtId="168" fontId="1" fillId="0" borderId="6" xfId="4165" applyNumberFormat="1" applyBorder="1"/>
    <xf numFmtId="0" fontId="51" fillId="0" borderId="0" xfId="0" applyFont="1" applyAlignment="1">
      <alignment horizontal="left" vertical="top"/>
    </xf>
    <xf numFmtId="0" fontId="42" fillId="0" borderId="0" xfId="0" applyFont="1" applyAlignment="1">
      <alignment horizontal="left" vertical="top"/>
    </xf>
    <xf numFmtId="0" fontId="42" fillId="0" borderId="0" xfId="0" applyFont="1" applyAlignment="1">
      <alignment vertical="top"/>
    </xf>
    <xf numFmtId="0" fontId="16" fillId="0" borderId="0" xfId="0" applyFont="1" applyAlignment="1">
      <alignment horizontal="left" vertical="top"/>
    </xf>
    <xf numFmtId="0" fontId="115" fillId="0" borderId="0" xfId="0" applyFont="1" applyAlignment="1">
      <alignment horizontal="left" vertical="top"/>
    </xf>
    <xf numFmtId="0" fontId="117" fillId="0" borderId="0" xfId="0" applyFont="1" applyAlignment="1">
      <alignment horizontal="left" vertical="top"/>
    </xf>
    <xf numFmtId="0" fontId="118" fillId="0" borderId="0" xfId="0" applyFont="1" applyAlignment="1">
      <alignment horizontal="left" vertical="top"/>
    </xf>
    <xf numFmtId="2" fontId="0" fillId="0" borderId="0" xfId="0" applyNumberFormat="1" applyAlignment="1">
      <alignment horizontal="center"/>
    </xf>
    <xf numFmtId="0" fontId="14" fillId="0" borderId="0" xfId="0" applyFont="1" applyAlignment="1">
      <alignment wrapText="1"/>
    </xf>
    <xf numFmtId="0" fontId="41" fillId="47" borderId="0" xfId="0" applyFont="1" applyFill="1" applyAlignment="1">
      <alignment horizontal="left" vertical="top"/>
    </xf>
    <xf numFmtId="0" fontId="115" fillId="47" borderId="0" xfId="0" applyFont="1" applyFill="1" applyAlignment="1">
      <alignment horizontal="left" vertical="top"/>
    </xf>
    <xf numFmtId="0" fontId="116" fillId="47" borderId="0" xfId="7" applyFont="1" applyFill="1"/>
    <xf numFmtId="0" fontId="117" fillId="47" borderId="0" xfId="0" applyFont="1" applyFill="1" applyAlignment="1">
      <alignment horizontal="left" vertical="top"/>
    </xf>
    <xf numFmtId="0" fontId="42" fillId="47" borderId="0" xfId="0" applyFont="1" applyFill="1" applyAlignment="1">
      <alignment vertical="top"/>
    </xf>
    <xf numFmtId="0" fontId="34" fillId="6" borderId="3" xfId="4" applyFont="1" applyFill="1" applyBorder="1" applyAlignment="1" applyProtection="1">
      <alignment horizontal="center" vertical="center"/>
      <protection hidden="1"/>
    </xf>
    <xf numFmtId="0" fontId="34" fillId="6" borderId="0" xfId="4" applyFont="1" applyFill="1" applyAlignment="1" applyProtection="1">
      <alignment horizontal="center" vertical="center"/>
      <protection hidden="1"/>
    </xf>
    <xf numFmtId="0" fontId="11" fillId="0" borderId="21" xfId="4" applyFont="1" applyBorder="1" applyAlignment="1" applyProtection="1">
      <alignment horizontal="left" vertical="top"/>
      <protection locked="0"/>
    </xf>
    <xf numFmtId="0" fontId="11" fillId="0" borderId="4" xfId="4" applyFont="1" applyBorder="1" applyAlignment="1" applyProtection="1">
      <alignment horizontal="left" vertical="top"/>
      <protection locked="0"/>
    </xf>
    <xf numFmtId="0" fontId="11" fillId="0" borderId="22" xfId="4" applyFont="1" applyBorder="1" applyAlignment="1" applyProtection="1">
      <alignment horizontal="left" vertical="top"/>
      <protection locked="0"/>
    </xf>
    <xf numFmtId="0" fontId="11" fillId="0" borderId="3" xfId="4" applyFont="1" applyBorder="1" applyAlignment="1" applyProtection="1">
      <alignment horizontal="left" vertical="top"/>
      <protection locked="0"/>
    </xf>
    <xf numFmtId="0" fontId="11" fillId="0" borderId="0" xfId="4" applyFont="1" applyAlignment="1" applyProtection="1">
      <alignment horizontal="left" vertical="top"/>
      <protection locked="0"/>
    </xf>
    <xf numFmtId="0" fontId="11" fillId="0" borderId="5" xfId="4" applyFont="1" applyBorder="1" applyAlignment="1" applyProtection="1">
      <alignment horizontal="left" vertical="top"/>
      <protection locked="0"/>
    </xf>
    <xf numFmtId="0" fontId="11" fillId="0" borderId="48" xfId="4" applyFont="1" applyBorder="1" applyAlignment="1" applyProtection="1">
      <alignment horizontal="left" vertical="top"/>
      <protection locked="0"/>
    </xf>
    <xf numFmtId="0" fontId="11" fillId="0" borderId="26" xfId="4" applyFont="1" applyBorder="1" applyAlignment="1" applyProtection="1">
      <alignment horizontal="left" vertical="top"/>
      <protection locked="0"/>
    </xf>
    <xf numFmtId="0" fontId="11" fillId="0" borderId="27" xfId="4" applyFont="1" applyBorder="1" applyAlignment="1" applyProtection="1">
      <alignment horizontal="left" vertical="top"/>
      <protection locked="0"/>
    </xf>
    <xf numFmtId="0" fontId="11" fillId="0" borderId="13" xfId="4" applyFont="1" applyBorder="1" applyAlignment="1" applyProtection="1">
      <alignment horizontal="left" vertical="center" wrapText="1"/>
      <protection hidden="1"/>
    </xf>
    <xf numFmtId="0" fontId="11" fillId="0" borderId="52" xfId="4" applyFont="1" applyBorder="1" applyAlignment="1" applyProtection="1">
      <alignment horizontal="left" vertical="center"/>
      <protection hidden="1"/>
    </xf>
    <xf numFmtId="0" fontId="11" fillId="0" borderId="46" xfId="4" applyFont="1" applyBorder="1" applyAlignment="1" applyProtection="1">
      <alignment horizontal="left" vertical="center"/>
      <protection hidden="1"/>
    </xf>
    <xf numFmtId="0" fontId="11" fillId="7" borderId="38" xfId="4" applyFont="1" applyFill="1" applyBorder="1" applyAlignment="1" applyProtection="1">
      <alignment horizontal="left" vertical="top" wrapText="1"/>
      <protection locked="0"/>
    </xf>
    <xf numFmtId="0" fontId="11" fillId="7" borderId="35" xfId="4" applyFont="1" applyFill="1" applyBorder="1" applyAlignment="1" applyProtection="1">
      <alignment horizontal="left" vertical="top"/>
      <protection locked="0"/>
    </xf>
    <xf numFmtId="0" fontId="11" fillId="7" borderId="36" xfId="4" applyFont="1" applyFill="1" applyBorder="1" applyAlignment="1" applyProtection="1">
      <alignment horizontal="left" vertical="top"/>
      <protection locked="0"/>
    </xf>
    <xf numFmtId="0" fontId="11" fillId="7" borderId="49" xfId="4" applyFont="1" applyFill="1" applyBorder="1" applyAlignment="1" applyProtection="1">
      <alignment horizontal="left" vertical="top"/>
      <protection locked="0"/>
    </xf>
    <xf numFmtId="0" fontId="11" fillId="7" borderId="0" xfId="4" applyFont="1" applyFill="1" applyAlignment="1" applyProtection="1">
      <alignment horizontal="left" vertical="top"/>
      <protection locked="0"/>
    </xf>
    <xf numFmtId="0" fontId="11" fillId="7" borderId="5" xfId="4" applyFont="1" applyFill="1" applyBorder="1" applyAlignment="1" applyProtection="1">
      <alignment horizontal="left" vertical="top"/>
      <protection locked="0"/>
    </xf>
    <xf numFmtId="0" fontId="11" fillId="7" borderId="44" xfId="4" applyFont="1" applyFill="1" applyBorder="1" applyAlignment="1" applyProtection="1">
      <alignment horizontal="left" vertical="top"/>
      <protection locked="0"/>
    </xf>
    <xf numFmtId="0" fontId="11" fillId="7" borderId="26" xfId="4" applyFont="1" applyFill="1" applyBorder="1" applyAlignment="1" applyProtection="1">
      <alignment horizontal="left" vertical="top"/>
      <protection locked="0"/>
    </xf>
    <xf numFmtId="0" fontId="11" fillId="7" borderId="27" xfId="4" applyFont="1" applyFill="1" applyBorder="1" applyAlignment="1" applyProtection="1">
      <alignment horizontal="left" vertical="top"/>
      <protection locked="0"/>
    </xf>
    <xf numFmtId="0" fontId="34" fillId="6" borderId="28" xfId="4" applyFont="1" applyFill="1" applyBorder="1" applyAlignment="1" applyProtection="1">
      <alignment horizontal="center" vertical="center"/>
      <protection hidden="1"/>
    </xf>
    <xf numFmtId="0" fontId="34" fillId="6" borderId="29" xfId="4" applyFont="1" applyFill="1" applyBorder="1" applyAlignment="1" applyProtection="1">
      <alignment horizontal="center" vertical="center"/>
      <protection hidden="1"/>
    </xf>
    <xf numFmtId="0" fontId="34" fillId="6" borderId="30" xfId="4" applyFont="1" applyFill="1" applyBorder="1" applyAlignment="1" applyProtection="1">
      <alignment horizontal="center" vertical="center"/>
      <protection hidden="1"/>
    </xf>
    <xf numFmtId="0" fontId="11" fillId="7" borderId="17" xfId="4" applyFont="1" applyFill="1" applyBorder="1" applyAlignment="1" applyProtection="1">
      <alignment horizontal="left"/>
      <protection locked="0"/>
    </xf>
    <xf numFmtId="0" fontId="11" fillId="7" borderId="19" xfId="4" applyFont="1" applyFill="1" applyBorder="1" applyAlignment="1" applyProtection="1">
      <alignment horizontal="left"/>
      <protection locked="0"/>
    </xf>
    <xf numFmtId="0" fontId="11" fillId="7" borderId="20" xfId="4" applyFont="1" applyFill="1" applyBorder="1" applyAlignment="1" applyProtection="1">
      <alignment horizontal="left"/>
      <protection locked="0"/>
    </xf>
    <xf numFmtId="0" fontId="11" fillId="7" borderId="35" xfId="4" applyFont="1" applyFill="1" applyBorder="1" applyAlignment="1" applyProtection="1">
      <alignment horizontal="left" vertical="top" wrapText="1"/>
      <protection locked="0"/>
    </xf>
    <xf numFmtId="0" fontId="11" fillId="7" borderId="36" xfId="4" applyFont="1" applyFill="1" applyBorder="1" applyAlignment="1" applyProtection="1">
      <alignment horizontal="left" vertical="top" wrapText="1"/>
      <protection locked="0"/>
    </xf>
    <xf numFmtId="0" fontId="11" fillId="7" borderId="51" xfId="4" applyFont="1" applyFill="1" applyBorder="1" applyAlignment="1" applyProtection="1">
      <alignment horizontal="left" vertical="top" wrapText="1"/>
      <protection locked="0"/>
    </xf>
    <xf numFmtId="0" fontId="11" fillId="7" borderId="25" xfId="4" applyFont="1" applyFill="1" applyBorder="1" applyAlignment="1" applyProtection="1">
      <alignment horizontal="left" vertical="top" wrapText="1"/>
      <protection locked="0"/>
    </xf>
    <xf numFmtId="0" fontId="11" fillId="7" borderId="37" xfId="4" applyFont="1" applyFill="1" applyBorder="1" applyAlignment="1" applyProtection="1">
      <alignment horizontal="left" vertical="top" wrapText="1"/>
      <protection locked="0"/>
    </xf>
    <xf numFmtId="0" fontId="11" fillId="7" borderId="12" xfId="4" applyFont="1" applyFill="1" applyBorder="1" applyAlignment="1" applyProtection="1">
      <alignment horizontal="center"/>
      <protection locked="0"/>
    </xf>
    <xf numFmtId="0" fontId="11" fillId="7" borderId="40" xfId="4" applyFont="1" applyFill="1" applyBorder="1" applyAlignment="1" applyProtection="1">
      <alignment horizontal="center"/>
      <protection locked="0"/>
    </xf>
    <xf numFmtId="0" fontId="11" fillId="7" borderId="41" xfId="4" applyFont="1" applyFill="1" applyBorder="1" applyAlignment="1" applyProtection="1">
      <alignment horizontal="center"/>
      <protection locked="0"/>
    </xf>
    <xf numFmtId="0" fontId="11" fillId="0" borderId="34" xfId="4" applyFont="1" applyBorder="1" applyAlignment="1" applyProtection="1">
      <alignment horizontal="left" vertical="center"/>
      <protection hidden="1"/>
    </xf>
    <xf numFmtId="0" fontId="11" fillId="0" borderId="43" xfId="4" applyFont="1" applyBorder="1" applyAlignment="1" applyProtection="1">
      <alignment horizontal="left" vertical="center"/>
      <protection hidden="1"/>
    </xf>
    <xf numFmtId="172" fontId="11" fillId="0" borderId="26" xfId="4" applyNumberFormat="1" applyFont="1" applyBorder="1" applyAlignment="1" applyProtection="1">
      <alignment horizontal="center"/>
      <protection locked="0"/>
    </xf>
    <xf numFmtId="172" fontId="11" fillId="0" borderId="27" xfId="4" applyNumberFormat="1" applyFont="1" applyBorder="1" applyAlignment="1" applyProtection="1">
      <alignment horizontal="center"/>
      <protection locked="0"/>
    </xf>
    <xf numFmtId="0" fontId="35" fillId="6" borderId="29" xfId="0" applyFont="1" applyFill="1" applyBorder="1"/>
    <xf numFmtId="0" fontId="35" fillId="6" borderId="30" xfId="0" applyFont="1" applyFill="1" applyBorder="1"/>
    <xf numFmtId="0" fontId="10" fillId="0" borderId="24" xfId="4" applyFont="1" applyBorder="1" applyAlignment="1" applyProtection="1">
      <alignment horizontal="left"/>
      <protection hidden="1"/>
    </xf>
    <xf numFmtId="0" fontId="10" fillId="0" borderId="18" xfId="4" applyFont="1" applyBorder="1" applyAlignment="1" applyProtection="1">
      <alignment horizontal="left"/>
      <protection hidden="1"/>
    </xf>
    <xf numFmtId="0" fontId="11" fillId="7" borderId="35" xfId="4" applyFont="1" applyFill="1" applyBorder="1" applyAlignment="1" applyProtection="1">
      <alignment horizontal="center"/>
      <protection locked="0"/>
    </xf>
    <xf numFmtId="0" fontId="11" fillId="7" borderId="36" xfId="4" applyFont="1" applyFill="1" applyBorder="1" applyAlignment="1" applyProtection="1">
      <alignment horizontal="center"/>
      <protection locked="0"/>
    </xf>
    <xf numFmtId="49" fontId="11" fillId="7" borderId="24" xfId="4" applyNumberFormat="1" applyFont="1" applyFill="1" applyBorder="1" applyAlignment="1" applyProtection="1">
      <alignment horizontal="left" vertical="center"/>
      <protection locked="0"/>
    </xf>
    <xf numFmtId="49" fontId="11" fillId="7" borderId="18" xfId="0" applyNumberFormat="1" applyFont="1" applyFill="1" applyBorder="1" applyProtection="1">
      <protection locked="0"/>
    </xf>
    <xf numFmtId="172" fontId="11" fillId="5" borderId="25" xfId="4" applyNumberFormat="1" applyFont="1" applyFill="1" applyBorder="1" applyAlignment="1" applyProtection="1">
      <alignment horizontal="center"/>
      <protection locked="0"/>
    </xf>
    <xf numFmtId="172" fontId="11" fillId="5" borderId="37" xfId="4" applyNumberFormat="1" applyFont="1" applyFill="1" applyBorder="1" applyAlignment="1" applyProtection="1">
      <alignment horizontal="center"/>
      <protection locked="0"/>
    </xf>
    <xf numFmtId="0" fontId="34" fillId="6" borderId="43" xfId="4" applyFont="1" applyFill="1" applyBorder="1" applyAlignment="1" applyProtection="1">
      <alignment horizontal="center" vertical="center"/>
      <protection hidden="1"/>
    </xf>
    <xf numFmtId="0" fontId="34" fillId="6" borderId="25" xfId="4" applyFont="1" applyFill="1" applyBorder="1" applyAlignment="1" applyProtection="1">
      <alignment horizontal="center" vertical="center"/>
      <protection hidden="1"/>
    </xf>
    <xf numFmtId="0" fontId="34" fillId="6" borderId="37" xfId="4" applyFont="1" applyFill="1" applyBorder="1" applyAlignment="1" applyProtection="1">
      <alignment horizontal="center" vertical="center"/>
      <protection hidden="1"/>
    </xf>
    <xf numFmtId="0" fontId="10" fillId="0" borderId="34" xfId="4" applyFont="1" applyBorder="1" applyAlignment="1" applyProtection="1">
      <alignment horizontal="center"/>
      <protection hidden="1"/>
    </xf>
    <xf numFmtId="0" fontId="10" fillId="0" borderId="35" xfId="4" applyFont="1" applyBorder="1" applyAlignment="1" applyProtection="1">
      <alignment horizontal="center"/>
      <protection hidden="1"/>
    </xf>
    <xf numFmtId="0" fontId="10" fillId="0" borderId="36" xfId="4" applyFont="1" applyBorder="1" applyAlignment="1" applyProtection="1">
      <alignment horizontal="center"/>
      <protection hidden="1"/>
    </xf>
    <xf numFmtId="0" fontId="35" fillId="6" borderId="25" xfId="0" applyFont="1" applyFill="1" applyBorder="1"/>
    <xf numFmtId="0" fontId="35" fillId="6" borderId="37" xfId="0" applyFont="1" applyFill="1" applyBorder="1"/>
    <xf numFmtId="0" fontId="11" fillId="7" borderId="0" xfId="4" applyFont="1" applyFill="1" applyAlignment="1" applyProtection="1">
      <alignment horizontal="center"/>
      <protection locked="0"/>
    </xf>
    <xf numFmtId="0" fontId="11" fillId="7" borderId="5" xfId="4" applyFont="1" applyFill="1" applyBorder="1" applyAlignment="1" applyProtection="1">
      <alignment horizontal="center"/>
      <protection locked="0"/>
    </xf>
    <xf numFmtId="0" fontId="46" fillId="0" borderId="0" xfId="4" applyFont="1" applyAlignment="1" applyProtection="1">
      <alignment horizontal="left" indent="1"/>
      <protection locked="0"/>
    </xf>
    <xf numFmtId="164" fontId="81" fillId="6" borderId="0" xfId="0" applyNumberFormat="1" applyFont="1" applyFill="1" applyAlignment="1" applyProtection="1">
      <alignment horizontal="center"/>
      <protection hidden="1"/>
    </xf>
    <xf numFmtId="170" fontId="10" fillId="0" borderId="12" xfId="3" applyNumberFormat="1" applyFont="1" applyBorder="1" applyAlignment="1" applyProtection="1">
      <alignment horizontal="center"/>
      <protection hidden="1"/>
    </xf>
    <xf numFmtId="170" fontId="10" fillId="0" borderId="16" xfId="3" applyNumberFormat="1" applyFont="1" applyBorder="1" applyAlignment="1" applyProtection="1">
      <alignment horizontal="center"/>
      <protection hidden="1"/>
    </xf>
    <xf numFmtId="0" fontId="82" fillId="6" borderId="0" xfId="4" applyFont="1" applyFill="1" applyAlignment="1" applyProtection="1">
      <alignment horizontal="center"/>
      <protection hidden="1"/>
    </xf>
    <xf numFmtId="10" fontId="10" fillId="5" borderId="12" xfId="6" applyNumberFormat="1" applyFont="1" applyFill="1" applyBorder="1" applyAlignment="1" applyProtection="1">
      <alignment horizontal="center"/>
      <protection hidden="1"/>
    </xf>
    <xf numFmtId="10" fontId="10" fillId="5" borderId="16" xfId="6" applyNumberFormat="1" applyFont="1" applyFill="1" applyBorder="1" applyAlignment="1" applyProtection="1">
      <alignment horizontal="center"/>
      <protection hidden="1"/>
    </xf>
    <xf numFmtId="0" fontId="10" fillId="5" borderId="12" xfId="0" applyFont="1" applyFill="1" applyBorder="1" applyAlignment="1" applyProtection="1">
      <alignment horizontal="center"/>
      <protection hidden="1"/>
    </xf>
    <xf numFmtId="0" fontId="64" fillId="5" borderId="16" xfId="0" applyFont="1" applyFill="1" applyBorder="1"/>
    <xf numFmtId="0" fontId="11" fillId="0" borderId="17" xfId="4" applyFont="1" applyBorder="1" applyAlignment="1" applyProtection="1">
      <alignment horizontal="center"/>
      <protection hidden="1"/>
    </xf>
    <xf numFmtId="0" fontId="11" fillId="0" borderId="18" xfId="4" applyFont="1" applyBorder="1" applyAlignment="1" applyProtection="1">
      <alignment horizontal="center"/>
      <protection hidden="1"/>
    </xf>
    <xf numFmtId="0" fontId="34" fillId="6" borderId="28" xfId="4" applyFont="1" applyFill="1" applyBorder="1" applyAlignment="1" applyProtection="1">
      <alignment horizontal="center"/>
      <protection hidden="1"/>
    </xf>
    <xf numFmtId="0" fontId="34" fillId="6" borderId="29" xfId="4" applyFont="1" applyFill="1" applyBorder="1" applyAlignment="1" applyProtection="1">
      <alignment horizontal="center"/>
      <protection hidden="1"/>
    </xf>
    <xf numFmtId="0" fontId="34" fillId="6" borderId="30" xfId="4" applyFont="1" applyFill="1" applyBorder="1" applyAlignment="1" applyProtection="1">
      <alignment horizontal="center"/>
      <protection hidden="1"/>
    </xf>
    <xf numFmtId="164" fontId="34" fillId="6" borderId="28" xfId="0" applyNumberFormat="1" applyFont="1" applyFill="1" applyBorder="1" applyAlignment="1" applyProtection="1">
      <alignment horizontal="center"/>
      <protection hidden="1"/>
    </xf>
    <xf numFmtId="164" fontId="34" fillId="6" borderId="29" xfId="0" applyNumberFormat="1" applyFont="1" applyFill="1" applyBorder="1" applyAlignment="1" applyProtection="1">
      <alignment horizontal="center"/>
      <protection hidden="1"/>
    </xf>
    <xf numFmtId="164" fontId="34" fillId="6" borderId="30" xfId="0" applyNumberFormat="1" applyFont="1" applyFill="1" applyBorder="1" applyAlignment="1" applyProtection="1">
      <alignment horizontal="center"/>
      <protection hidden="1"/>
    </xf>
    <xf numFmtId="0" fontId="34" fillId="6" borderId="31" xfId="4" applyFont="1" applyFill="1" applyBorder="1" applyAlignment="1" applyProtection="1">
      <alignment horizontal="center" vertical="center"/>
      <protection hidden="1"/>
    </xf>
    <xf numFmtId="0" fontId="35" fillId="6" borderId="32" xfId="0" applyFont="1" applyFill="1" applyBorder="1"/>
    <xf numFmtId="0" fontId="35" fillId="6" borderId="33" xfId="0" applyFont="1" applyFill="1" applyBorder="1"/>
    <xf numFmtId="49" fontId="13" fillId="7" borderId="17" xfId="4" applyNumberFormat="1" applyFont="1" applyFill="1" applyBorder="1" applyAlignment="1" applyProtection="1">
      <alignment horizontal="left" wrapText="1"/>
      <protection locked="0"/>
    </xf>
    <xf numFmtId="49" fontId="13" fillId="7" borderId="18" xfId="4" applyNumberFormat="1" applyFont="1" applyFill="1" applyBorder="1" applyAlignment="1" applyProtection="1">
      <alignment horizontal="left" wrapText="1"/>
      <protection locked="0"/>
    </xf>
    <xf numFmtId="49" fontId="11" fillId="7" borderId="38" xfId="4" applyNumberFormat="1" applyFont="1" applyFill="1" applyBorder="1" applyAlignment="1" applyProtection="1">
      <alignment horizontal="left"/>
      <protection locked="0"/>
    </xf>
    <xf numFmtId="49" fontId="11" fillId="7" borderId="39" xfId="4" applyNumberFormat="1" applyFont="1" applyFill="1" applyBorder="1" applyAlignment="1" applyProtection="1">
      <alignment horizontal="left"/>
      <protection locked="0"/>
    </xf>
    <xf numFmtId="49" fontId="12" fillId="7" borderId="17" xfId="4" applyNumberFormat="1" applyFont="1" applyFill="1" applyBorder="1" applyAlignment="1" applyProtection="1">
      <alignment horizontal="left"/>
      <protection locked="0"/>
    </xf>
    <xf numFmtId="49" fontId="12" fillId="7" borderId="18" xfId="4" applyNumberFormat="1" applyFont="1" applyFill="1" applyBorder="1" applyAlignment="1" applyProtection="1">
      <alignment horizontal="left"/>
      <protection locked="0"/>
    </xf>
    <xf numFmtId="0" fontId="10" fillId="2" borderId="12" xfId="4" applyFont="1" applyFill="1" applyBorder="1" applyAlignment="1" applyProtection="1">
      <alignment horizontal="center"/>
      <protection hidden="1"/>
    </xf>
    <xf numFmtId="0" fontId="10" fillId="2" borderId="16" xfId="4" applyFont="1" applyFill="1" applyBorder="1" applyAlignment="1" applyProtection="1">
      <alignment horizontal="center"/>
      <protection hidden="1"/>
    </xf>
    <xf numFmtId="49" fontId="13" fillId="7" borderId="17" xfId="4" applyNumberFormat="1" applyFont="1" applyFill="1" applyBorder="1" applyAlignment="1" applyProtection="1">
      <alignment horizontal="left"/>
      <protection locked="0"/>
    </xf>
    <xf numFmtId="49" fontId="13" fillId="7" borderId="18" xfId="4" applyNumberFormat="1" applyFont="1" applyFill="1" applyBorder="1" applyAlignment="1" applyProtection="1">
      <alignment horizontal="left"/>
      <protection locked="0"/>
    </xf>
    <xf numFmtId="49" fontId="11" fillId="7" borderId="12" xfId="4" applyNumberFormat="1" applyFont="1" applyFill="1" applyBorder="1" applyAlignment="1" applyProtection="1">
      <alignment horizontal="left"/>
      <protection locked="0"/>
    </xf>
    <xf numFmtId="49" fontId="11" fillId="7" borderId="16" xfId="4" applyNumberFormat="1" applyFont="1" applyFill="1" applyBorder="1" applyAlignment="1" applyProtection="1">
      <alignment horizontal="left"/>
      <protection locked="0"/>
    </xf>
    <xf numFmtId="0" fontId="10" fillId="7" borderId="6" xfId="0" applyFont="1" applyFill="1" applyBorder="1" applyAlignment="1" applyProtection="1">
      <alignment horizontal="center"/>
      <protection locked="0"/>
    </xf>
    <xf numFmtId="0" fontId="10" fillId="7" borderId="8" xfId="4" applyFont="1" applyFill="1" applyBorder="1" applyAlignment="1" applyProtection="1">
      <alignment vertical="center"/>
      <protection locked="0"/>
    </xf>
    <xf numFmtId="0" fontId="10" fillId="7" borderId="6" xfId="4" applyFont="1" applyFill="1" applyBorder="1" applyAlignment="1" applyProtection="1">
      <alignment vertical="center"/>
      <protection locked="0"/>
    </xf>
    <xf numFmtId="49" fontId="10" fillId="7" borderId="31" xfId="916" applyNumberFormat="1" applyFont="1" applyFill="1" applyBorder="1" applyAlignment="1" applyProtection="1">
      <alignment horizontal="left"/>
      <protection locked="0"/>
    </xf>
    <xf numFmtId="49" fontId="10" fillId="7" borderId="32" xfId="916" applyNumberFormat="1" applyFont="1" applyFill="1" applyBorder="1" applyAlignment="1" applyProtection="1">
      <alignment horizontal="left"/>
      <protection locked="0"/>
    </xf>
    <xf numFmtId="49" fontId="10" fillId="7" borderId="33" xfId="916" applyNumberFormat="1" applyFont="1" applyFill="1" applyBorder="1" applyAlignment="1" applyProtection="1">
      <alignment horizontal="left"/>
      <protection locked="0"/>
    </xf>
    <xf numFmtId="0" fontId="34" fillId="6" borderId="21" xfId="4" applyFont="1" applyFill="1" applyBorder="1" applyAlignment="1" applyProtection="1">
      <alignment horizontal="center" vertical="center"/>
      <protection hidden="1"/>
    </xf>
    <xf numFmtId="0" fontId="35" fillId="6" borderId="4" xfId="0" applyFont="1" applyFill="1" applyBorder="1"/>
    <xf numFmtId="0" fontId="35" fillId="6" borderId="22" xfId="0" applyFont="1" applyFill="1" applyBorder="1"/>
    <xf numFmtId="0" fontId="10" fillId="0" borderId="6" xfId="4" applyFont="1" applyBorder="1" applyAlignment="1" applyProtection="1">
      <alignment horizontal="center" vertical="center" wrapText="1"/>
      <protection hidden="1"/>
    </xf>
    <xf numFmtId="0" fontId="16" fillId="0" borderId="0" xfId="0" applyFont="1" applyAlignment="1">
      <alignment horizontal="center"/>
    </xf>
    <xf numFmtId="0" fontId="39" fillId="0" borderId="0" xfId="0" applyFont="1" applyAlignment="1">
      <alignment horizontal="left" vertical="center"/>
    </xf>
    <xf numFmtId="0" fontId="8" fillId="0" borderId="0" xfId="0" applyFont="1"/>
    <xf numFmtId="0" fontId="34" fillId="6" borderId="53" xfId="4" applyFont="1" applyFill="1" applyBorder="1" applyAlignment="1" applyProtection="1">
      <alignment horizontal="center" vertical="center"/>
      <protection hidden="1"/>
    </xf>
    <xf numFmtId="0" fontId="35" fillId="6" borderId="54" xfId="0" applyFont="1" applyFill="1" applyBorder="1"/>
    <xf numFmtId="0" fontId="35" fillId="6" borderId="55" xfId="0" applyFont="1" applyFill="1" applyBorder="1"/>
    <xf numFmtId="0" fontId="10" fillId="5" borderId="44" xfId="0" applyFont="1" applyFill="1" applyBorder="1" applyAlignment="1" applyProtection="1">
      <alignment horizontal="center"/>
      <protection hidden="1"/>
    </xf>
    <xf numFmtId="0" fontId="64" fillId="5" borderId="45" xfId="0" applyFont="1" applyFill="1" applyBorder="1"/>
    <xf numFmtId="49" fontId="11" fillId="7" borderId="24" xfId="4" applyNumberFormat="1" applyFont="1" applyFill="1" applyBorder="1" applyAlignment="1" applyProtection="1">
      <alignment horizontal="left"/>
      <protection locked="0"/>
    </xf>
    <xf numFmtId="49" fontId="11" fillId="7" borderId="18" xfId="0" applyNumberFormat="1" applyFont="1" applyFill="1" applyBorder="1" applyAlignment="1" applyProtection="1">
      <alignment horizontal="left"/>
      <protection locked="0"/>
    </xf>
    <xf numFmtId="0" fontId="11" fillId="0" borderId="6" xfId="4" applyFont="1" applyBorder="1" applyAlignment="1" applyProtection="1">
      <alignment horizontal="center"/>
      <protection hidden="1"/>
    </xf>
    <xf numFmtId="170" fontId="10" fillId="0" borderId="11" xfId="3" applyNumberFormat="1" applyFont="1" applyBorder="1" applyAlignment="1" applyProtection="1">
      <alignment horizontal="center"/>
      <protection hidden="1"/>
    </xf>
    <xf numFmtId="164" fontId="34" fillId="6" borderId="53" xfId="0" applyNumberFormat="1" applyFont="1" applyFill="1" applyBorder="1" applyAlignment="1" applyProtection="1">
      <alignment horizontal="center"/>
      <protection hidden="1"/>
    </xf>
    <xf numFmtId="164" fontId="34" fillId="6" borderId="54" xfId="0" applyNumberFormat="1" applyFont="1" applyFill="1" applyBorder="1" applyAlignment="1" applyProtection="1">
      <alignment horizontal="center"/>
      <protection hidden="1"/>
    </xf>
    <xf numFmtId="164" fontId="34" fillId="6" borderId="55" xfId="0" applyNumberFormat="1" applyFont="1" applyFill="1" applyBorder="1" applyAlignment="1" applyProtection="1">
      <alignment horizontal="center"/>
      <protection hidden="1"/>
    </xf>
    <xf numFmtId="0" fontId="34" fillId="6" borderId="53" xfId="4" applyFont="1" applyFill="1" applyBorder="1" applyAlignment="1" applyProtection="1">
      <alignment horizontal="center"/>
      <protection hidden="1"/>
    </xf>
    <xf numFmtId="0" fontId="34" fillId="6" borderId="54" xfId="4" applyFont="1" applyFill="1" applyBorder="1" applyAlignment="1" applyProtection="1">
      <alignment horizontal="center"/>
      <protection hidden="1"/>
    </xf>
    <xf numFmtId="0" fontId="34" fillId="6" borderId="55" xfId="4" applyFont="1" applyFill="1" applyBorder="1" applyAlignment="1" applyProtection="1">
      <alignment horizontal="center"/>
      <protection hidden="1"/>
    </xf>
    <xf numFmtId="0" fontId="11" fillId="0" borderId="1" xfId="4" applyFont="1" applyBorder="1" applyAlignment="1" applyProtection="1">
      <alignment horizontal="center"/>
      <protection hidden="1"/>
    </xf>
    <xf numFmtId="0" fontId="11" fillId="0" borderId="11" xfId="4" applyFont="1" applyBorder="1" applyAlignment="1" applyProtection="1">
      <alignment horizontal="center"/>
      <protection hidden="1"/>
    </xf>
    <xf numFmtId="164" fontId="34" fillId="6" borderId="8" xfId="0" applyNumberFormat="1" applyFont="1" applyFill="1" applyBorder="1" applyAlignment="1" applyProtection="1">
      <alignment horizontal="center"/>
      <protection hidden="1"/>
    </xf>
    <xf numFmtId="164" fontId="34" fillId="6" borderId="6" xfId="0" applyNumberFormat="1" applyFont="1" applyFill="1" applyBorder="1" applyAlignment="1" applyProtection="1">
      <alignment horizontal="center"/>
      <protection hidden="1"/>
    </xf>
    <xf numFmtId="49" fontId="11" fillId="5" borderId="23" xfId="4" applyNumberFormat="1" applyFont="1" applyFill="1" applyBorder="1" applyAlignment="1" applyProtection="1">
      <alignment horizontal="center"/>
      <protection hidden="1"/>
    </xf>
    <xf numFmtId="0" fontId="11" fillId="7" borderId="49" xfId="4" applyFont="1" applyFill="1" applyBorder="1" applyAlignment="1" applyProtection="1">
      <alignment horizontal="left" vertical="top" wrapText="1"/>
      <protection locked="0"/>
    </xf>
    <xf numFmtId="0" fontId="11" fillId="7" borderId="0" xfId="4" applyFont="1" applyFill="1" applyAlignment="1" applyProtection="1">
      <alignment horizontal="left" vertical="top" wrapText="1"/>
      <protection locked="0"/>
    </xf>
    <xf numFmtId="0" fontId="11" fillId="7" borderId="5" xfId="4" applyFont="1" applyFill="1" applyBorder="1" applyAlignment="1" applyProtection="1">
      <alignment horizontal="left" vertical="top" wrapText="1"/>
      <protection locked="0"/>
    </xf>
    <xf numFmtId="49" fontId="11" fillId="7" borderId="18" xfId="4" applyNumberFormat="1" applyFont="1" applyFill="1" applyBorder="1" applyAlignment="1" applyProtection="1">
      <alignment horizontal="left"/>
      <protection locked="0"/>
    </xf>
    <xf numFmtId="0" fontId="11" fillId="7" borderId="12" xfId="4" applyFont="1" applyFill="1" applyBorder="1" applyAlignment="1" applyProtection="1">
      <alignment horizontal="left"/>
      <protection locked="0"/>
    </xf>
    <xf numFmtId="0" fontId="11" fillId="7" borderId="40" xfId="4" applyFont="1" applyFill="1" applyBorder="1" applyAlignment="1" applyProtection="1">
      <alignment horizontal="left"/>
      <protection locked="0"/>
    </xf>
    <xf numFmtId="0" fontId="11" fillId="7" borderId="41" xfId="4" applyFont="1" applyFill="1" applyBorder="1" applyAlignment="1" applyProtection="1">
      <alignment horizontal="left"/>
      <protection locked="0"/>
    </xf>
    <xf numFmtId="172"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182" fontId="14" fillId="0" borderId="0" xfId="0" applyNumberFormat="1" applyFont="1" applyAlignment="1">
      <alignment horizontal="center" vertical="center"/>
    </xf>
    <xf numFmtId="0" fontId="14" fillId="0" borderId="0" xfId="0" applyFont="1"/>
    <xf numFmtId="182" fontId="14" fillId="0" borderId="0" xfId="0" applyNumberFormat="1" applyFont="1" applyAlignment="1">
      <alignment horizontal="left" vertical="center"/>
    </xf>
    <xf numFmtId="15" fontId="14" fillId="0" borderId="0" xfId="0" applyNumberFormat="1" applyFont="1" applyAlignment="1">
      <alignment horizontal="left" vertical="center"/>
    </xf>
    <xf numFmtId="0" fontId="0" fillId="0" borderId="0" xfId="0" applyAlignment="1">
      <alignment vertical="center"/>
    </xf>
    <xf numFmtId="49" fontId="16" fillId="0" borderId="0" xfId="0" applyNumberFormat="1" applyFont="1" applyAlignment="1">
      <alignment horizontal="left"/>
    </xf>
    <xf numFmtId="0" fontId="16" fillId="0" borderId="0" xfId="0" applyFont="1" applyAlignment="1">
      <alignment horizontal="left"/>
    </xf>
    <xf numFmtId="0" fontId="43" fillId="6" borderId="28" xfId="0" applyFont="1" applyFill="1" applyBorder="1" applyAlignment="1">
      <alignment horizontal="center"/>
    </xf>
    <xf numFmtId="0" fontId="43" fillId="6" borderId="29" xfId="0" applyFont="1" applyFill="1" applyBorder="1" applyAlignment="1">
      <alignment horizontal="center"/>
    </xf>
    <xf numFmtId="0" fontId="43" fillId="6" borderId="30" xfId="0" applyFont="1" applyFill="1" applyBorder="1" applyAlignment="1">
      <alignment horizontal="center"/>
    </xf>
    <xf numFmtId="0" fontId="16" fillId="0" borderId="21"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2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26"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20" fillId="0" borderId="15" xfId="0" applyFont="1" applyBorder="1" applyAlignment="1">
      <alignment horizontal="left" vertical="center"/>
    </xf>
    <xf numFmtId="0" fontId="20" fillId="0" borderId="67" xfId="0" applyFont="1" applyBorder="1" applyAlignment="1">
      <alignment horizontal="left" vertical="center"/>
    </xf>
    <xf numFmtId="0" fontId="20" fillId="0" borderId="15" xfId="0" applyFont="1" applyBorder="1" applyAlignment="1">
      <alignment horizontal="left" vertical="center" wrapText="1"/>
    </xf>
    <xf numFmtId="0" fontId="20" fillId="0" borderId="67" xfId="0" applyFont="1" applyBorder="1" applyAlignment="1">
      <alignment horizontal="left" vertical="center" wrapText="1"/>
    </xf>
    <xf numFmtId="0" fontId="20" fillId="0" borderId="15" xfId="0" applyFont="1" applyBorder="1" applyAlignment="1">
      <alignment vertical="center"/>
    </xf>
    <xf numFmtId="0" fontId="20" fillId="0" borderId="67" xfId="0" applyFont="1" applyBorder="1" applyAlignment="1">
      <alignment vertical="center"/>
    </xf>
    <xf numFmtId="0" fontId="42" fillId="0" borderId="0" xfId="0" applyFont="1" applyAlignment="1" applyProtection="1">
      <alignment horizontal="center" vertical="top"/>
      <protection locked="0"/>
    </xf>
    <xf numFmtId="0" fontId="41" fillId="0" borderId="0" xfId="0" applyFont="1" applyAlignment="1">
      <alignment horizontal="center" vertical="top"/>
    </xf>
    <xf numFmtId="0" fontId="112" fillId="7" borderId="38" xfId="4165" applyFont="1" applyFill="1" applyBorder="1" applyAlignment="1">
      <alignment horizontal="left" vertical="top" wrapText="1"/>
    </xf>
    <xf numFmtId="0" fontId="112" fillId="7" borderId="35" xfId="4165" applyFont="1" applyFill="1" applyBorder="1" applyAlignment="1">
      <alignment horizontal="left" vertical="top"/>
    </xf>
    <xf numFmtId="0" fontId="112" fillId="7" borderId="39" xfId="4165" applyFont="1" applyFill="1" applyBorder="1" applyAlignment="1">
      <alignment horizontal="left" vertical="top"/>
    </xf>
    <xf numFmtId="0" fontId="112" fillId="7" borderId="49" xfId="4165" applyFont="1" applyFill="1" applyBorder="1" applyAlignment="1">
      <alignment horizontal="left" vertical="top"/>
    </xf>
    <xf numFmtId="0" fontId="112" fillId="7" borderId="0" xfId="4165" applyFont="1" applyFill="1" applyAlignment="1">
      <alignment horizontal="left" vertical="top"/>
    </xf>
    <xf numFmtId="0" fontId="112" fillId="7" borderId="72" xfId="4165" applyFont="1" applyFill="1" applyBorder="1" applyAlignment="1">
      <alignment horizontal="left" vertical="top"/>
    </xf>
    <xf numFmtId="0" fontId="112" fillId="7" borderId="51" xfId="4165" applyFont="1" applyFill="1" applyBorder="1" applyAlignment="1">
      <alignment horizontal="left" vertical="top"/>
    </xf>
    <xf numFmtId="0" fontId="112" fillId="7" borderId="25" xfId="4165" applyFont="1" applyFill="1" applyBorder="1" applyAlignment="1">
      <alignment horizontal="left" vertical="top"/>
    </xf>
    <xf numFmtId="0" fontId="112" fillId="7" borderId="66" xfId="4165" applyFont="1" applyFill="1" applyBorder="1" applyAlignment="1">
      <alignment horizontal="left" vertical="top"/>
    </xf>
    <xf numFmtId="0" fontId="71" fillId="8" borderId="17" xfId="12" applyBorder="1" applyAlignment="1">
      <alignment horizontal="center"/>
    </xf>
    <xf numFmtId="0" fontId="71" fillId="8" borderId="19" xfId="12" applyBorder="1" applyAlignment="1">
      <alignment horizontal="center"/>
    </xf>
    <xf numFmtId="0" fontId="71" fillId="8" borderId="18" xfId="12" applyBorder="1" applyAlignment="1">
      <alignment horizontal="center"/>
    </xf>
    <xf numFmtId="0" fontId="71" fillId="8" borderId="6" xfId="12" applyBorder="1" applyAlignment="1">
      <alignment horizontal="center"/>
    </xf>
    <xf numFmtId="0" fontId="71" fillId="8" borderId="62" xfId="12" applyBorder="1" applyAlignment="1">
      <alignment horizontal="center"/>
    </xf>
    <xf numFmtId="0" fontId="26" fillId="0" borderId="32" xfId="0" applyFont="1" applyBorder="1"/>
    <xf numFmtId="0" fontId="26" fillId="0" borderId="26" xfId="0" applyFont="1" applyBorder="1"/>
    <xf numFmtId="0" fontId="26" fillId="0" borderId="0" xfId="0" applyFont="1"/>
    <xf numFmtId="0" fontId="24" fillId="0" borderId="26" xfId="0" applyFont="1" applyBorder="1" applyAlignment="1">
      <alignment horizontal="center"/>
    </xf>
    <xf numFmtId="0" fontId="26" fillId="0" borderId="4" xfId="0" applyFont="1" applyBorder="1"/>
  </cellXfs>
  <cellStyles count="4167">
    <cellStyle name="20% - Accent1" xfId="23" builtinId="30" customBuiltin="1"/>
    <cellStyle name="20% - Accent1 10" xfId="445" xr:uid="{00000000-0005-0000-0000-000001000000}"/>
    <cellStyle name="20% - Accent1 10 2" xfId="1271" xr:uid="{3781B88E-781C-492C-ACF6-859D9EBD3AEC}"/>
    <cellStyle name="20% - Accent1 10 3" xfId="2099" xr:uid="{822246B7-3D73-4427-9505-07C9E6396295}"/>
    <cellStyle name="20% - Accent1 10 4" xfId="2923" xr:uid="{4537A6F5-0D78-4515-B955-903A28D46377}"/>
    <cellStyle name="20% - Accent1 10 5" xfId="3747" xr:uid="{1BDCFE74-665A-4E4F-BFF1-0D46E60660A5}"/>
    <cellStyle name="20% - Accent1 11" xfId="458" xr:uid="{00000000-0005-0000-0000-000002000000}"/>
    <cellStyle name="20% - Accent1 11 2" xfId="1284" xr:uid="{FF8D50DF-12BD-4E15-A1B4-5F9EB4396397}"/>
    <cellStyle name="20% - Accent1 11 3" xfId="2112" xr:uid="{CCB6F075-C6EE-42C1-B3E0-4256763AAAE0}"/>
    <cellStyle name="20% - Accent1 11 4" xfId="2936" xr:uid="{4F51A3E9-9F90-4CDD-B83A-4707019F9C2E}"/>
    <cellStyle name="20% - Accent1 11 5" xfId="3760" xr:uid="{0A9DE3B2-8FD5-4856-AFA2-BD20CDEB2FEF}"/>
    <cellStyle name="20% - Accent1 12" xfId="863" xr:uid="{3A51A1AA-6310-45AF-9054-99D558995A11}"/>
    <cellStyle name="20% - Accent1 13" xfId="1692" xr:uid="{E93729EE-11D4-4A00-8117-6E6B48DF1704}"/>
    <cellStyle name="20% - Accent1 14" xfId="2516" xr:uid="{3BB481C7-62BC-4FFF-8000-1AAC33788DEF}"/>
    <cellStyle name="20% - Accent1 15" xfId="3340" xr:uid="{EE82E477-B8FA-43DC-A5CC-3F524FC21657}"/>
    <cellStyle name="20% - Accent1 2" xfId="52" xr:uid="{00000000-0005-0000-0000-000003000000}"/>
    <cellStyle name="20% - Accent1 2 2" xfId="105" xr:uid="{00000000-0005-0000-0000-000004000000}"/>
    <cellStyle name="20% - Accent1 2 2 2" xfId="210" xr:uid="{00000000-0005-0000-0000-000005000000}"/>
    <cellStyle name="20% - Accent1 2 2 2 2" xfId="419" xr:uid="{00000000-0005-0000-0000-000006000000}"/>
    <cellStyle name="20% - Accent1 2 2 2 2 2" xfId="836" xr:uid="{00000000-0005-0000-0000-000007000000}"/>
    <cellStyle name="20% - Accent1 2 2 2 2 2 2" xfId="1662" xr:uid="{1A622E28-0FDD-4DED-81AA-52726606252A}"/>
    <cellStyle name="20% - Accent1 2 2 2 2 2 3" xfId="2490" xr:uid="{42E770C3-33B2-4846-A9A3-D2B8FB59B422}"/>
    <cellStyle name="20% - Accent1 2 2 2 2 2 4" xfId="3314" xr:uid="{1AAB2234-89B9-4B85-82FB-BBDC263E66B5}"/>
    <cellStyle name="20% - Accent1 2 2 2 2 2 5" xfId="4138" xr:uid="{1CDDA79D-3B45-4854-8A02-C9CCB12A0EC5}"/>
    <cellStyle name="20% - Accent1 2 2 2 2 3" xfId="1245" xr:uid="{E9351F0E-7315-40D6-AEF8-0F331074B803}"/>
    <cellStyle name="20% - Accent1 2 2 2 2 4" xfId="2073" xr:uid="{11F1981F-6C80-4A46-AF65-E5D4478BE735}"/>
    <cellStyle name="20% - Accent1 2 2 2 2 5" xfId="2897" xr:uid="{9ECC4EB6-250A-4798-9BDC-83DF4D0CEE32}"/>
    <cellStyle name="20% - Accent1 2 2 2 2 6" xfId="3721" xr:uid="{C4ED45A0-ADC4-44F7-ADA9-A841940DF791}"/>
    <cellStyle name="20% - Accent1 2 2 2 3" xfId="628" xr:uid="{00000000-0005-0000-0000-000008000000}"/>
    <cellStyle name="20% - Accent1 2 2 2 3 2" xfId="1454" xr:uid="{34202630-47FB-47A0-8AE4-666D6F2D86F0}"/>
    <cellStyle name="20% - Accent1 2 2 2 3 3" xfId="2282" xr:uid="{0527DCF7-CD00-46CB-AA10-6B7DDBAB7793}"/>
    <cellStyle name="20% - Accent1 2 2 2 3 4" xfId="3106" xr:uid="{43C65505-3325-485E-BA58-F7208F8B6824}"/>
    <cellStyle name="20% - Accent1 2 2 2 3 5" xfId="3930" xr:uid="{BD0EE4DE-6DBB-4806-961B-B15218DFA82C}"/>
    <cellStyle name="20% - Accent1 2 2 2 4" xfId="1036" xr:uid="{A8586297-4F5B-45FF-A8A9-1F1F76B22D0D}"/>
    <cellStyle name="20% - Accent1 2 2 2 5" xfId="1864" xr:uid="{B8E50F09-906C-4016-8C8B-C1A680391E08}"/>
    <cellStyle name="20% - Accent1 2 2 2 6" xfId="2688" xr:uid="{2134183A-8F83-413E-9B34-9DC273EA1C02}"/>
    <cellStyle name="20% - Accent1 2 2 2 7" xfId="3512" xr:uid="{F9E1C6DE-8201-48A5-8750-4B311A031988}"/>
    <cellStyle name="20% - Accent1 2 2 3" xfId="315" xr:uid="{00000000-0005-0000-0000-000009000000}"/>
    <cellStyle name="20% - Accent1 2 2 3 2" xfId="732" xr:uid="{00000000-0005-0000-0000-00000A000000}"/>
    <cellStyle name="20% - Accent1 2 2 3 2 2" xfId="1558" xr:uid="{C2DBA0CF-52EB-4661-8453-445D163B0684}"/>
    <cellStyle name="20% - Accent1 2 2 3 2 3" xfId="2386" xr:uid="{2AD04AA7-D987-4370-A757-197AFC06FB49}"/>
    <cellStyle name="20% - Accent1 2 2 3 2 4" xfId="3210" xr:uid="{6E3100F6-F811-4548-8863-57A715B1C3F7}"/>
    <cellStyle name="20% - Accent1 2 2 3 2 5" xfId="4034" xr:uid="{C526B3D1-FA32-4341-98D1-57EAB18E44E6}"/>
    <cellStyle name="20% - Accent1 2 2 3 3" xfId="1141" xr:uid="{79736EE5-742F-430F-A463-4AA892BA7B68}"/>
    <cellStyle name="20% - Accent1 2 2 3 4" xfId="1969" xr:uid="{40385586-70FB-4FCC-8A49-3F08AC2DCD4D}"/>
    <cellStyle name="20% - Accent1 2 2 3 5" xfId="2793" xr:uid="{1BF7ED38-03B6-4DB4-840C-5E56A5453170}"/>
    <cellStyle name="20% - Accent1 2 2 3 6" xfId="3617" xr:uid="{D8B48561-982A-463C-9C9F-6C5BF9BDC9CD}"/>
    <cellStyle name="20% - Accent1 2 2 4" xfId="524" xr:uid="{00000000-0005-0000-0000-00000B000000}"/>
    <cellStyle name="20% - Accent1 2 2 4 2" xfId="1350" xr:uid="{EAE9924D-71D3-4A3F-8A50-E92775D1FE92}"/>
    <cellStyle name="20% - Accent1 2 2 4 3" xfId="2178" xr:uid="{16C344F4-62BF-4399-A4B6-FF5184B24D3C}"/>
    <cellStyle name="20% - Accent1 2 2 4 4" xfId="3002" xr:uid="{0278F103-F33E-4D6F-A401-642DC2ADD42F}"/>
    <cellStyle name="20% - Accent1 2 2 4 5" xfId="3826" xr:uid="{67ACF97C-6B04-433A-868D-9BD397E567B0}"/>
    <cellStyle name="20% - Accent1 2 2 5" xfId="931" xr:uid="{E9B37B85-6855-4C9E-8608-86D9BCD5EEFA}"/>
    <cellStyle name="20% - Accent1 2 2 6" xfId="1759" xr:uid="{EBF05F14-2C70-4C36-B99B-121CE0F04E1E}"/>
    <cellStyle name="20% - Accent1 2 2 7" xfId="2583" xr:uid="{8E38160A-E69B-4A21-8429-FFEC8F7B6216}"/>
    <cellStyle name="20% - Accent1 2 2 8" xfId="3407" xr:uid="{4B69F3A8-B5C3-4FD8-BBC9-7994EA71B3AB}"/>
    <cellStyle name="20% - Accent1 2 3" xfId="158" xr:uid="{00000000-0005-0000-0000-00000C000000}"/>
    <cellStyle name="20% - Accent1 2 3 2" xfId="367" xr:uid="{00000000-0005-0000-0000-00000D000000}"/>
    <cellStyle name="20% - Accent1 2 3 2 2" xfId="784" xr:uid="{00000000-0005-0000-0000-00000E000000}"/>
    <cellStyle name="20% - Accent1 2 3 2 2 2" xfId="1610" xr:uid="{4C14F016-8D6B-4ECA-A24E-3AFC4E901B0A}"/>
    <cellStyle name="20% - Accent1 2 3 2 2 3" xfId="2438" xr:uid="{F398B391-E738-4CFF-A38A-162DD0CAD03D}"/>
    <cellStyle name="20% - Accent1 2 3 2 2 4" xfId="3262" xr:uid="{4297A62C-A858-4DDE-95D1-29F5FF6D8464}"/>
    <cellStyle name="20% - Accent1 2 3 2 2 5" xfId="4086" xr:uid="{97D41CBB-AD01-4B51-854D-41B993474E83}"/>
    <cellStyle name="20% - Accent1 2 3 2 3" xfId="1193" xr:uid="{3545C6C7-406C-4AB2-A068-8D411223A435}"/>
    <cellStyle name="20% - Accent1 2 3 2 4" xfId="2021" xr:uid="{B1AB6B65-328B-4201-80DA-45C254DC3215}"/>
    <cellStyle name="20% - Accent1 2 3 2 5" xfId="2845" xr:uid="{F088BF85-1185-42F2-B034-033352925230}"/>
    <cellStyle name="20% - Accent1 2 3 2 6" xfId="3669" xr:uid="{1AC018DF-6D58-4173-ADB4-E610CFE8B93E}"/>
    <cellStyle name="20% - Accent1 2 3 3" xfId="576" xr:uid="{00000000-0005-0000-0000-00000F000000}"/>
    <cellStyle name="20% - Accent1 2 3 3 2" xfId="1402" xr:uid="{1978E1A7-D7A8-44F2-AA06-1009393D5C2E}"/>
    <cellStyle name="20% - Accent1 2 3 3 3" xfId="2230" xr:uid="{FD6D82B3-90E4-4C5F-B04D-A3E42BBF7CD3}"/>
    <cellStyle name="20% - Accent1 2 3 3 4" xfId="3054" xr:uid="{09FA5FA2-DF51-455C-A940-227C6DB4CE12}"/>
    <cellStyle name="20% - Accent1 2 3 3 5" xfId="3878" xr:uid="{D6A8212E-335F-4CD2-9BA4-2C673AF41A70}"/>
    <cellStyle name="20% - Accent1 2 3 4" xfId="984" xr:uid="{FD1FAEC7-9BCC-4AB4-A3AF-036B3074531B}"/>
    <cellStyle name="20% - Accent1 2 3 5" xfId="1812" xr:uid="{0E9673A4-6FD6-42FE-9E09-818817FA94C7}"/>
    <cellStyle name="20% - Accent1 2 3 6" xfId="2636" xr:uid="{F7E56850-1B54-4BBD-8FDC-22BC47A47974}"/>
    <cellStyle name="20% - Accent1 2 3 7" xfId="3460" xr:uid="{50D1AA88-807E-4D92-B46A-B5843BD94609}"/>
    <cellStyle name="20% - Accent1 2 4" xfId="263" xr:uid="{00000000-0005-0000-0000-000010000000}"/>
    <cellStyle name="20% - Accent1 2 4 2" xfId="680" xr:uid="{00000000-0005-0000-0000-000011000000}"/>
    <cellStyle name="20% - Accent1 2 4 2 2" xfId="1506" xr:uid="{74C29414-AA0E-4A3C-B77D-1D3C322D9C85}"/>
    <cellStyle name="20% - Accent1 2 4 2 3" xfId="2334" xr:uid="{6B4F1106-9F2C-45B4-9687-BDFF67AE930E}"/>
    <cellStyle name="20% - Accent1 2 4 2 4" xfId="3158" xr:uid="{0D679171-2E6D-4420-B351-E5A29F6DDFC6}"/>
    <cellStyle name="20% - Accent1 2 4 2 5" xfId="3982" xr:uid="{A540C2F2-3622-403F-A2A2-36F148544EAC}"/>
    <cellStyle name="20% - Accent1 2 4 3" xfId="1089" xr:uid="{8C7D4C8A-979F-47EF-940C-DFF37EF2D09E}"/>
    <cellStyle name="20% - Accent1 2 4 4" xfId="1917" xr:uid="{28B292B2-4787-4617-9A23-807F2F1E76C9}"/>
    <cellStyle name="20% - Accent1 2 4 5" xfId="2741" xr:uid="{7C41AACB-C990-467F-9002-CE95CD7B4DFE}"/>
    <cellStyle name="20% - Accent1 2 4 6" xfId="3565" xr:uid="{B1D65384-FA86-45BC-B4EB-EA4C24535CCD}"/>
    <cellStyle name="20% - Accent1 2 5" xfId="472" xr:uid="{00000000-0005-0000-0000-000012000000}"/>
    <cellStyle name="20% - Accent1 2 5 2" xfId="1298" xr:uid="{CF6E967B-6865-4708-9610-DE72259E30B9}"/>
    <cellStyle name="20% - Accent1 2 5 3" xfId="2126" xr:uid="{54A36CF3-DD77-4B43-99A7-6E7D58D8861E}"/>
    <cellStyle name="20% - Accent1 2 5 4" xfId="2950" xr:uid="{5A6C0A6E-9A58-4073-A6ED-22A6456314D0}"/>
    <cellStyle name="20% - Accent1 2 5 5" xfId="3774" xr:uid="{24551D4D-6C97-422A-9CCC-647EE7527B82}"/>
    <cellStyle name="20% - Accent1 2 6" xfId="878" xr:uid="{97D53B7B-2C1C-4C41-98C8-CC2BE55C4DB6}"/>
    <cellStyle name="20% - Accent1 2 7" xfId="1706" xr:uid="{01DFC082-09C0-4968-A156-132CCC6C743B}"/>
    <cellStyle name="20% - Accent1 2 8" xfId="2530" xr:uid="{6CE69782-8515-4250-BD05-B42277A0FE98}"/>
    <cellStyle name="20% - Accent1 2 9" xfId="3354" xr:uid="{C06488EF-4FBC-433F-8270-6F01A2D825CB}"/>
    <cellStyle name="20% - Accent1 3" xfId="65" xr:uid="{00000000-0005-0000-0000-000013000000}"/>
    <cellStyle name="20% - Accent1 3 2" xfId="118" xr:uid="{00000000-0005-0000-0000-000014000000}"/>
    <cellStyle name="20% - Accent1 3 2 2" xfId="223" xr:uid="{00000000-0005-0000-0000-000015000000}"/>
    <cellStyle name="20% - Accent1 3 2 2 2" xfId="432" xr:uid="{00000000-0005-0000-0000-000016000000}"/>
    <cellStyle name="20% - Accent1 3 2 2 2 2" xfId="849" xr:uid="{00000000-0005-0000-0000-000017000000}"/>
    <cellStyle name="20% - Accent1 3 2 2 2 2 2" xfId="1675" xr:uid="{26667131-47DD-46F5-B56F-08439B6F4241}"/>
    <cellStyle name="20% - Accent1 3 2 2 2 2 3" xfId="2503" xr:uid="{62E0C22D-ACA0-4619-A030-DB7B32D37265}"/>
    <cellStyle name="20% - Accent1 3 2 2 2 2 4" xfId="3327" xr:uid="{C02A9358-853C-4F77-84A9-EC897D558588}"/>
    <cellStyle name="20% - Accent1 3 2 2 2 2 5" xfId="4151" xr:uid="{C3E287C6-66EE-418A-A3DC-D7A1BA5D127D}"/>
    <cellStyle name="20% - Accent1 3 2 2 2 3" xfId="1258" xr:uid="{957B74F4-9EC4-456B-B252-FC38B537008C}"/>
    <cellStyle name="20% - Accent1 3 2 2 2 4" xfId="2086" xr:uid="{5F8968E6-AFCD-4A4B-8B8F-E9BA4B6DAEE7}"/>
    <cellStyle name="20% - Accent1 3 2 2 2 5" xfId="2910" xr:uid="{A305AF4B-BBC3-48B0-BB72-FD756CBB46BD}"/>
    <cellStyle name="20% - Accent1 3 2 2 2 6" xfId="3734" xr:uid="{BE39AB5E-23E6-427A-8ABF-1E683544F0FF}"/>
    <cellStyle name="20% - Accent1 3 2 2 3" xfId="641" xr:uid="{00000000-0005-0000-0000-000018000000}"/>
    <cellStyle name="20% - Accent1 3 2 2 3 2" xfId="1467" xr:uid="{2E97C574-9A07-4EFA-9483-5A5361167370}"/>
    <cellStyle name="20% - Accent1 3 2 2 3 3" xfId="2295" xr:uid="{6C52D38E-FE3A-4048-9658-334F0E348EC0}"/>
    <cellStyle name="20% - Accent1 3 2 2 3 4" xfId="3119" xr:uid="{1900067E-5999-4F22-8F16-2FBC3F1AA726}"/>
    <cellStyle name="20% - Accent1 3 2 2 3 5" xfId="3943" xr:uid="{82BE8A5E-5956-4D13-A22E-DD4EA3F28CFE}"/>
    <cellStyle name="20% - Accent1 3 2 2 4" xfId="1049" xr:uid="{76415378-491C-4BF3-96B0-073B933A6FA7}"/>
    <cellStyle name="20% - Accent1 3 2 2 5" xfId="1877" xr:uid="{E0EC5406-ADCF-4198-906F-B1142B67B314}"/>
    <cellStyle name="20% - Accent1 3 2 2 6" xfId="2701" xr:uid="{20637433-70C0-4DCA-900A-D66333348C29}"/>
    <cellStyle name="20% - Accent1 3 2 2 7" xfId="3525" xr:uid="{3D290125-207F-43CA-A9C2-4A3666EAB118}"/>
    <cellStyle name="20% - Accent1 3 2 3" xfId="328" xr:uid="{00000000-0005-0000-0000-000019000000}"/>
    <cellStyle name="20% - Accent1 3 2 3 2" xfId="745" xr:uid="{00000000-0005-0000-0000-00001A000000}"/>
    <cellStyle name="20% - Accent1 3 2 3 2 2" xfId="1571" xr:uid="{D9251792-920B-4CE3-A9BC-1CD81656CE31}"/>
    <cellStyle name="20% - Accent1 3 2 3 2 3" xfId="2399" xr:uid="{7A8394A9-2E18-4B65-B662-CE20A128B72C}"/>
    <cellStyle name="20% - Accent1 3 2 3 2 4" xfId="3223" xr:uid="{8F65F9E4-236D-401E-922D-036030854D74}"/>
    <cellStyle name="20% - Accent1 3 2 3 2 5" xfId="4047" xr:uid="{12967783-FCBA-4867-A78C-6701C268A718}"/>
    <cellStyle name="20% - Accent1 3 2 3 3" xfId="1154" xr:uid="{08DA027B-A6A4-4CED-9522-57F269E070CB}"/>
    <cellStyle name="20% - Accent1 3 2 3 4" xfId="1982" xr:uid="{B284E4F7-1D62-488F-B3AD-C07D8DB9E7EC}"/>
    <cellStyle name="20% - Accent1 3 2 3 5" xfId="2806" xr:uid="{D721B084-B8CA-4343-9837-02815E85984F}"/>
    <cellStyle name="20% - Accent1 3 2 3 6" xfId="3630" xr:uid="{179413D3-C3DF-40F6-AE24-9507824E64FC}"/>
    <cellStyle name="20% - Accent1 3 2 4" xfId="537" xr:uid="{00000000-0005-0000-0000-00001B000000}"/>
    <cellStyle name="20% - Accent1 3 2 4 2" xfId="1363" xr:uid="{8008E260-C712-4775-BC4E-B85F63270BF0}"/>
    <cellStyle name="20% - Accent1 3 2 4 3" xfId="2191" xr:uid="{D7251BC7-EE9D-4BF5-A31B-6668BB264E77}"/>
    <cellStyle name="20% - Accent1 3 2 4 4" xfId="3015" xr:uid="{1DAB7038-1AF8-421A-90AB-4BADB0EE2172}"/>
    <cellStyle name="20% - Accent1 3 2 4 5" xfId="3839" xr:uid="{950E0902-824E-45B3-8379-5BE000265DCA}"/>
    <cellStyle name="20% - Accent1 3 2 5" xfId="944" xr:uid="{5E8F03D4-14D2-4FD0-B794-93F2F6F8D0D9}"/>
    <cellStyle name="20% - Accent1 3 2 6" xfId="1772" xr:uid="{22F021E8-0C16-45F5-81A6-3CFFF1AF10C2}"/>
    <cellStyle name="20% - Accent1 3 2 7" xfId="2596" xr:uid="{21294A59-5450-4DE4-8A70-A8BF2F9DF79A}"/>
    <cellStyle name="20% - Accent1 3 2 8" xfId="3420" xr:uid="{C2BEDA3E-1D99-4BB6-8221-E477273C8C83}"/>
    <cellStyle name="20% - Accent1 3 3" xfId="171" xr:uid="{00000000-0005-0000-0000-00001C000000}"/>
    <cellStyle name="20% - Accent1 3 3 2" xfId="380" xr:uid="{00000000-0005-0000-0000-00001D000000}"/>
    <cellStyle name="20% - Accent1 3 3 2 2" xfId="797" xr:uid="{00000000-0005-0000-0000-00001E000000}"/>
    <cellStyle name="20% - Accent1 3 3 2 2 2" xfId="1623" xr:uid="{9392709C-C872-46EE-8D2B-B19707AE3A81}"/>
    <cellStyle name="20% - Accent1 3 3 2 2 3" xfId="2451" xr:uid="{26E2CD59-5675-42FD-916F-698B14B7AD2A}"/>
    <cellStyle name="20% - Accent1 3 3 2 2 4" xfId="3275" xr:uid="{757D96F1-C1DF-4BEB-8D52-A87F45ADE1E1}"/>
    <cellStyle name="20% - Accent1 3 3 2 2 5" xfId="4099" xr:uid="{256C7A8F-29F2-44A3-8BD4-175B591DBEB5}"/>
    <cellStyle name="20% - Accent1 3 3 2 3" xfId="1206" xr:uid="{23A14FCD-1CD6-462E-9C6E-E983343CED41}"/>
    <cellStyle name="20% - Accent1 3 3 2 4" xfId="2034" xr:uid="{535940C2-C7BE-4696-B206-460C6B32D12A}"/>
    <cellStyle name="20% - Accent1 3 3 2 5" xfId="2858" xr:uid="{F8FFA65A-FCD2-4645-8FC5-35710CCBA137}"/>
    <cellStyle name="20% - Accent1 3 3 2 6" xfId="3682" xr:uid="{5D3B0CDD-0C2D-4BCE-B686-B5461C9667C0}"/>
    <cellStyle name="20% - Accent1 3 3 3" xfId="589" xr:uid="{00000000-0005-0000-0000-00001F000000}"/>
    <cellStyle name="20% - Accent1 3 3 3 2" xfId="1415" xr:uid="{B006286E-6FAF-4535-B630-06A959FFDC5C}"/>
    <cellStyle name="20% - Accent1 3 3 3 3" xfId="2243" xr:uid="{0A9A8908-0C2A-4C49-B890-B7CB349353E9}"/>
    <cellStyle name="20% - Accent1 3 3 3 4" xfId="3067" xr:uid="{655F787E-7F82-4870-A713-C9CBE17DB598}"/>
    <cellStyle name="20% - Accent1 3 3 3 5" xfId="3891" xr:uid="{8A488088-291F-4A16-BAC0-B36C035CCAAA}"/>
    <cellStyle name="20% - Accent1 3 3 4" xfId="997" xr:uid="{E0472E15-C80F-4336-9A6D-650DB8DEBE46}"/>
    <cellStyle name="20% - Accent1 3 3 5" xfId="1825" xr:uid="{2E1139DE-F622-41D0-A662-56443A17E3DE}"/>
    <cellStyle name="20% - Accent1 3 3 6" xfId="2649" xr:uid="{0FD2478C-1B4B-41B0-AD74-D6420C1108F3}"/>
    <cellStyle name="20% - Accent1 3 3 7" xfId="3473" xr:uid="{EFDC8E04-F847-4DFD-A8DA-E18F275D1694}"/>
    <cellStyle name="20% - Accent1 3 4" xfId="276" xr:uid="{00000000-0005-0000-0000-000020000000}"/>
    <cellStyle name="20% - Accent1 3 4 2" xfId="693" xr:uid="{00000000-0005-0000-0000-000021000000}"/>
    <cellStyle name="20% - Accent1 3 4 2 2" xfId="1519" xr:uid="{97F57400-6DF7-4F4A-86D9-28C325E7E75A}"/>
    <cellStyle name="20% - Accent1 3 4 2 3" xfId="2347" xr:uid="{25210209-44C5-4C16-85A0-64BC4EAFA568}"/>
    <cellStyle name="20% - Accent1 3 4 2 4" xfId="3171" xr:uid="{86C32457-77EF-44E1-AC77-650247B24B24}"/>
    <cellStyle name="20% - Accent1 3 4 2 5" xfId="3995" xr:uid="{961BAD79-82EB-448B-BEFC-B2E541041500}"/>
    <cellStyle name="20% - Accent1 3 4 3" xfId="1102" xr:uid="{298EA2EF-E57B-4A5A-9814-B000569F08BC}"/>
    <cellStyle name="20% - Accent1 3 4 4" xfId="1930" xr:uid="{6B3D7A18-48D0-4017-A51F-B43D1A2A8FE8}"/>
    <cellStyle name="20% - Accent1 3 4 5" xfId="2754" xr:uid="{9C4EFD99-51E7-41A8-9405-FC11D24B8E4A}"/>
    <cellStyle name="20% - Accent1 3 4 6" xfId="3578" xr:uid="{851DBD47-F47E-465A-9E44-771048762B9E}"/>
    <cellStyle name="20% - Accent1 3 5" xfId="485" xr:uid="{00000000-0005-0000-0000-000022000000}"/>
    <cellStyle name="20% - Accent1 3 5 2" xfId="1311" xr:uid="{3FC30F5D-2F1F-4C40-856C-51BD439123E3}"/>
    <cellStyle name="20% - Accent1 3 5 3" xfId="2139" xr:uid="{4DF4E0A6-4C1E-4621-B493-C4FB3039F0CD}"/>
    <cellStyle name="20% - Accent1 3 5 4" xfId="2963" xr:uid="{CAD6B751-7A5A-450C-88D5-B83A52232D05}"/>
    <cellStyle name="20% - Accent1 3 5 5" xfId="3787" xr:uid="{0F1F413D-F2AE-462F-AF9C-F6980C6F620B}"/>
    <cellStyle name="20% - Accent1 3 6" xfId="891" xr:uid="{7A40F650-996E-41AA-BA16-3E0A6DA6D8CA}"/>
    <cellStyle name="20% - Accent1 3 7" xfId="1719" xr:uid="{04407D7E-F8C9-4E52-B8FB-68D86DBB5C17}"/>
    <cellStyle name="20% - Accent1 3 8" xfId="2543" xr:uid="{0D22C6F2-2F9F-49A0-88B7-C8F98CA4F868}"/>
    <cellStyle name="20% - Accent1 3 9" xfId="3367" xr:uid="{24583954-20D4-40D8-810F-5EDC16385D41}"/>
    <cellStyle name="20% - Accent1 4" xfId="78" xr:uid="{00000000-0005-0000-0000-000023000000}"/>
    <cellStyle name="20% - Accent1 4 2" xfId="184" xr:uid="{00000000-0005-0000-0000-000024000000}"/>
    <cellStyle name="20% - Accent1 4 2 2" xfId="393" xr:uid="{00000000-0005-0000-0000-000025000000}"/>
    <cellStyle name="20% - Accent1 4 2 2 2" xfId="810" xr:uid="{00000000-0005-0000-0000-000026000000}"/>
    <cellStyle name="20% - Accent1 4 2 2 2 2" xfId="1636" xr:uid="{5C872434-6F2B-4CF5-859A-72E9C581846A}"/>
    <cellStyle name="20% - Accent1 4 2 2 2 3" xfId="2464" xr:uid="{610ADB04-7B9A-4575-AC52-EB346EA030A8}"/>
    <cellStyle name="20% - Accent1 4 2 2 2 4" xfId="3288" xr:uid="{3C34C705-3A21-4750-ACC6-6C8A82F89D03}"/>
    <cellStyle name="20% - Accent1 4 2 2 2 5" xfId="4112" xr:uid="{54C88ACC-4B50-4205-9F41-F2A6B8A1D3C4}"/>
    <cellStyle name="20% - Accent1 4 2 2 3" xfId="1219" xr:uid="{6399EC55-17BD-4CB4-9AAA-07651396316E}"/>
    <cellStyle name="20% - Accent1 4 2 2 4" xfId="2047" xr:uid="{180F2209-4BEE-43AF-A317-7CFF0DF4492F}"/>
    <cellStyle name="20% - Accent1 4 2 2 5" xfId="2871" xr:uid="{09BEF990-2F70-422C-B62D-63D0C9AE35B5}"/>
    <cellStyle name="20% - Accent1 4 2 2 6" xfId="3695" xr:uid="{C70CDBDA-5561-41A6-815C-2058BE242884}"/>
    <cellStyle name="20% - Accent1 4 2 3" xfId="602" xr:uid="{00000000-0005-0000-0000-000027000000}"/>
    <cellStyle name="20% - Accent1 4 2 3 2" xfId="1428" xr:uid="{3ABAE165-9C31-4280-9AA9-6049050BB55F}"/>
    <cellStyle name="20% - Accent1 4 2 3 3" xfId="2256" xr:uid="{3D50D4FE-50A0-4559-BC64-1A6BD9B3DF75}"/>
    <cellStyle name="20% - Accent1 4 2 3 4" xfId="3080" xr:uid="{01D4A77E-DE76-4F9C-A402-6D2FC35D40AA}"/>
    <cellStyle name="20% - Accent1 4 2 3 5" xfId="3904" xr:uid="{3A68064B-5D4E-4EE6-9736-A85F832F873D}"/>
    <cellStyle name="20% - Accent1 4 2 4" xfId="1010" xr:uid="{3D38CF3C-14C0-4683-8949-D8B09B8B7C65}"/>
    <cellStyle name="20% - Accent1 4 2 5" xfId="1838" xr:uid="{396D658E-276A-42E8-B440-7D8E476BCD89}"/>
    <cellStyle name="20% - Accent1 4 2 6" xfId="2662" xr:uid="{4CC21673-C7CE-48DC-8988-AF2B64234D42}"/>
    <cellStyle name="20% - Accent1 4 2 7" xfId="3486" xr:uid="{F28EA106-A8AD-4EEB-AA91-538CFA2BDB86}"/>
    <cellStyle name="20% - Accent1 4 3" xfId="289" xr:uid="{00000000-0005-0000-0000-000028000000}"/>
    <cellStyle name="20% - Accent1 4 3 2" xfId="706" xr:uid="{00000000-0005-0000-0000-000029000000}"/>
    <cellStyle name="20% - Accent1 4 3 2 2" xfId="1532" xr:uid="{C2AB31E5-F976-4849-A848-59EAB3DB4976}"/>
    <cellStyle name="20% - Accent1 4 3 2 3" xfId="2360" xr:uid="{6397DF69-ACCB-4241-88AB-235A4A283F09}"/>
    <cellStyle name="20% - Accent1 4 3 2 4" xfId="3184" xr:uid="{9CA187C2-D72B-47EF-8D8A-B7B94E1EA562}"/>
    <cellStyle name="20% - Accent1 4 3 2 5" xfId="4008" xr:uid="{0535E5D5-E1FC-44D6-9150-0A367E3C6FB4}"/>
    <cellStyle name="20% - Accent1 4 3 3" xfId="1115" xr:uid="{26A161A8-7518-469C-85B2-C507D92B8D48}"/>
    <cellStyle name="20% - Accent1 4 3 4" xfId="1943" xr:uid="{F752954B-E1CD-4D6B-9967-841F40F9C210}"/>
    <cellStyle name="20% - Accent1 4 3 5" xfId="2767" xr:uid="{90F3798D-85A4-419A-A7DC-8BC52251834B}"/>
    <cellStyle name="20% - Accent1 4 3 6" xfId="3591" xr:uid="{9D61D4E2-9A3E-4530-8EFB-84929B3C8F15}"/>
    <cellStyle name="20% - Accent1 4 4" xfId="498" xr:uid="{00000000-0005-0000-0000-00002A000000}"/>
    <cellStyle name="20% - Accent1 4 4 2" xfId="1324" xr:uid="{6B874D54-2F12-4B77-8062-A9A697922100}"/>
    <cellStyle name="20% - Accent1 4 4 3" xfId="2152" xr:uid="{916BA163-329B-4078-9BB8-2F68D2C493AD}"/>
    <cellStyle name="20% - Accent1 4 4 4" xfId="2976" xr:uid="{9994B7E6-234E-4FAB-8AB1-AEB7058BEB0A}"/>
    <cellStyle name="20% - Accent1 4 4 5" xfId="3800" xr:uid="{B2180C10-C4DF-493A-B7AB-05C6F1841FFD}"/>
    <cellStyle name="20% - Accent1 4 5" xfId="904" xr:uid="{B8AFC18C-C906-48DE-B1DD-4A91CC895D2E}"/>
    <cellStyle name="20% - Accent1 4 6" xfId="1732" xr:uid="{F41C8AFD-8BE6-45AD-BBF0-AE1A359B8BAE}"/>
    <cellStyle name="20% - Accent1 4 7" xfId="2556" xr:uid="{8431C1A4-0D88-4D21-85D1-13804A0967BC}"/>
    <cellStyle name="20% - Accent1 4 8" xfId="3380" xr:uid="{A98AAFCC-E64D-426B-B21D-3D504F3907FF}"/>
    <cellStyle name="20% - Accent1 5" xfId="91" xr:uid="{00000000-0005-0000-0000-00002B000000}"/>
    <cellStyle name="20% - Accent1 5 2" xfId="196" xr:uid="{00000000-0005-0000-0000-00002C000000}"/>
    <cellStyle name="20% - Accent1 5 2 2" xfId="405" xr:uid="{00000000-0005-0000-0000-00002D000000}"/>
    <cellStyle name="20% - Accent1 5 2 2 2" xfId="822" xr:uid="{00000000-0005-0000-0000-00002E000000}"/>
    <cellStyle name="20% - Accent1 5 2 2 2 2" xfId="1648" xr:uid="{2A8A9C92-C284-4C4D-9768-48F5EE009362}"/>
    <cellStyle name="20% - Accent1 5 2 2 2 3" xfId="2476" xr:uid="{3B7D5947-1088-4DF9-B8E6-2F8862B9519B}"/>
    <cellStyle name="20% - Accent1 5 2 2 2 4" xfId="3300" xr:uid="{E1C97DC4-7663-49F7-93DC-C16D8119C899}"/>
    <cellStyle name="20% - Accent1 5 2 2 2 5" xfId="4124" xr:uid="{C3EE9EF3-D0E7-44DD-BD6A-C0BF41060E49}"/>
    <cellStyle name="20% - Accent1 5 2 2 3" xfId="1231" xr:uid="{CD6F3EEA-D998-4C34-8B75-3A0CEFDC22E7}"/>
    <cellStyle name="20% - Accent1 5 2 2 4" xfId="2059" xr:uid="{43661635-9C76-42A3-B7EE-F960B1DFE1D2}"/>
    <cellStyle name="20% - Accent1 5 2 2 5" xfId="2883" xr:uid="{B7F09490-9A7F-4C2D-9B66-E208DAD4D0C7}"/>
    <cellStyle name="20% - Accent1 5 2 2 6" xfId="3707" xr:uid="{5717490F-E377-4ECA-879B-0DD966BA2011}"/>
    <cellStyle name="20% - Accent1 5 2 3" xfId="614" xr:uid="{00000000-0005-0000-0000-00002F000000}"/>
    <cellStyle name="20% - Accent1 5 2 3 2" xfId="1440" xr:uid="{F3B60AE7-5DF3-4904-B9E7-509017F8C351}"/>
    <cellStyle name="20% - Accent1 5 2 3 3" xfId="2268" xr:uid="{AF16725A-8722-4C2C-A266-42F0FDD01AD8}"/>
    <cellStyle name="20% - Accent1 5 2 3 4" xfId="3092" xr:uid="{11351232-26A7-4619-99DE-67DCF20DC0BA}"/>
    <cellStyle name="20% - Accent1 5 2 3 5" xfId="3916" xr:uid="{4E081C11-AC2A-4550-ADD8-828468730A23}"/>
    <cellStyle name="20% - Accent1 5 2 4" xfId="1022" xr:uid="{E39796FE-AD1E-4887-A005-125F8F56076B}"/>
    <cellStyle name="20% - Accent1 5 2 5" xfId="1850" xr:uid="{6DEE8E40-10D6-4598-AD98-72F11A584B80}"/>
    <cellStyle name="20% - Accent1 5 2 6" xfId="2674" xr:uid="{5635C7FC-7B6D-4B67-A06E-890EA788F280}"/>
    <cellStyle name="20% - Accent1 5 2 7" xfId="3498" xr:uid="{FDB451EC-6DD5-4E4E-ABA0-B0121D97B9B9}"/>
    <cellStyle name="20% - Accent1 5 3" xfId="301" xr:uid="{00000000-0005-0000-0000-000030000000}"/>
    <cellStyle name="20% - Accent1 5 3 2" xfId="718" xr:uid="{00000000-0005-0000-0000-000031000000}"/>
    <cellStyle name="20% - Accent1 5 3 2 2" xfId="1544" xr:uid="{107E6D07-30AA-4E93-A6DA-CD287B044E96}"/>
    <cellStyle name="20% - Accent1 5 3 2 3" xfId="2372" xr:uid="{25A59096-F692-48A0-B53F-7CCEAB036EF0}"/>
    <cellStyle name="20% - Accent1 5 3 2 4" xfId="3196" xr:uid="{E6B3BBBF-D930-4D80-9188-BE0ABDA4D749}"/>
    <cellStyle name="20% - Accent1 5 3 2 5" xfId="4020" xr:uid="{2EFDB4D8-F14C-44D6-87D8-3BD91E28DA20}"/>
    <cellStyle name="20% - Accent1 5 3 3" xfId="1127" xr:uid="{E11E329A-2EED-4859-8225-A254FC224573}"/>
    <cellStyle name="20% - Accent1 5 3 4" xfId="1955" xr:uid="{4956CDB7-8442-4972-A513-18A91A84BD28}"/>
    <cellStyle name="20% - Accent1 5 3 5" xfId="2779" xr:uid="{0BA9E40A-2F66-4FEC-B2E1-C11654C9EDD6}"/>
    <cellStyle name="20% - Accent1 5 3 6" xfId="3603" xr:uid="{94B86D9E-5582-4E9E-9ECC-9D088954F396}"/>
    <cellStyle name="20% - Accent1 5 4" xfId="510" xr:uid="{00000000-0005-0000-0000-000032000000}"/>
    <cellStyle name="20% - Accent1 5 4 2" xfId="1336" xr:uid="{8F73F39C-4B80-4028-BB5E-A0A260B36178}"/>
    <cellStyle name="20% - Accent1 5 4 3" xfId="2164" xr:uid="{C4EEE1E7-EDA4-4DEC-B237-5F6FD2A50F77}"/>
    <cellStyle name="20% - Accent1 5 4 4" xfId="2988" xr:uid="{D3F12738-2086-4D46-BAD8-A764486E4D1C}"/>
    <cellStyle name="20% - Accent1 5 4 5" xfId="3812" xr:uid="{7162E13E-7834-4D07-AB90-425F09303400}"/>
    <cellStyle name="20% - Accent1 5 5" xfId="917" xr:uid="{40235F6D-5E89-44B1-BCE9-F0AFBADE9117}"/>
    <cellStyle name="20% - Accent1 5 6" xfId="1745" xr:uid="{04E8345D-4609-4848-9F63-175C51A37F06}"/>
    <cellStyle name="20% - Accent1 5 7" xfId="2569" xr:uid="{B885158F-A5CB-4274-AC0E-B9C20F61A613}"/>
    <cellStyle name="20% - Accent1 5 8" xfId="3393" xr:uid="{3C59C0E0-B301-404B-A2CB-BDB254B9AAA1}"/>
    <cellStyle name="20% - Accent1 6" xfId="131" xr:uid="{00000000-0005-0000-0000-000033000000}"/>
    <cellStyle name="20% - Accent1 6 2" xfId="341" xr:uid="{00000000-0005-0000-0000-000034000000}"/>
    <cellStyle name="20% - Accent1 6 2 2" xfId="758" xr:uid="{00000000-0005-0000-0000-000035000000}"/>
    <cellStyle name="20% - Accent1 6 2 2 2" xfId="1584" xr:uid="{5CDB69EC-C960-4CD7-B6C8-9A22322546ED}"/>
    <cellStyle name="20% - Accent1 6 2 2 3" xfId="2412" xr:uid="{8DB0F72D-B2B6-45C1-80DE-DE5FD7460246}"/>
    <cellStyle name="20% - Accent1 6 2 2 4" xfId="3236" xr:uid="{B7FF4881-2161-4893-9EA0-8D38E736257F}"/>
    <cellStyle name="20% - Accent1 6 2 2 5" xfId="4060" xr:uid="{51783AAB-81FF-4F4E-8EA2-0CFF94972405}"/>
    <cellStyle name="20% - Accent1 6 2 3" xfId="1167" xr:uid="{68A2F867-9527-4937-B5D9-208BA88E7B80}"/>
    <cellStyle name="20% - Accent1 6 2 4" xfId="1995" xr:uid="{EE2C3119-350F-42AB-8133-B940C97408AB}"/>
    <cellStyle name="20% - Accent1 6 2 5" xfId="2819" xr:uid="{6559F5F1-6402-4D07-91B0-AACC3920F870}"/>
    <cellStyle name="20% - Accent1 6 2 6" xfId="3643" xr:uid="{3234427D-0F3A-45DF-87E8-DACDB4983ED9}"/>
    <cellStyle name="20% - Accent1 6 3" xfId="550" xr:uid="{00000000-0005-0000-0000-000036000000}"/>
    <cellStyle name="20% - Accent1 6 3 2" xfId="1376" xr:uid="{888787DA-36A6-4527-9E86-112EC99B565B}"/>
    <cellStyle name="20% - Accent1 6 3 3" xfId="2204" xr:uid="{6200A79A-08B6-4197-A419-BBD97EE05B57}"/>
    <cellStyle name="20% - Accent1 6 3 4" xfId="3028" xr:uid="{D2785798-7781-47B1-93C1-1C59B7A75735}"/>
    <cellStyle name="20% - Accent1 6 3 5" xfId="3852" xr:uid="{F34F7AC5-BA08-4D62-86C4-4EEC8748190E}"/>
    <cellStyle name="20% - Accent1 6 4" xfId="957" xr:uid="{27E3D20B-93D2-4CD6-A4BD-5CA5E9CCA0CC}"/>
    <cellStyle name="20% - Accent1 6 5" xfId="1785" xr:uid="{A4DD44BA-8970-458A-A78F-0721D576072A}"/>
    <cellStyle name="20% - Accent1 6 6" xfId="2609" xr:uid="{578F8E7C-2C23-4521-B3F2-3E21253FDAA1}"/>
    <cellStyle name="20% - Accent1 6 7" xfId="3433" xr:uid="{2C0B7E0D-3DF1-46E3-A9E5-6EF887209498}"/>
    <cellStyle name="20% - Accent1 7" xfId="144" xr:uid="{00000000-0005-0000-0000-000037000000}"/>
    <cellStyle name="20% - Accent1 7 2" xfId="353" xr:uid="{00000000-0005-0000-0000-000038000000}"/>
    <cellStyle name="20% - Accent1 7 2 2" xfId="770" xr:uid="{00000000-0005-0000-0000-000039000000}"/>
    <cellStyle name="20% - Accent1 7 2 2 2" xfId="1596" xr:uid="{43E06FB4-1691-41A7-88AA-09169E974538}"/>
    <cellStyle name="20% - Accent1 7 2 2 3" xfId="2424" xr:uid="{3E27C882-431E-4884-A037-06F809E0C298}"/>
    <cellStyle name="20% - Accent1 7 2 2 4" xfId="3248" xr:uid="{DA5BFD2C-4E21-41CF-9BA5-9C6FED4C2BCB}"/>
    <cellStyle name="20% - Accent1 7 2 2 5" xfId="4072" xr:uid="{09224A58-8B84-4E10-A046-C4B0E16CC2AF}"/>
    <cellStyle name="20% - Accent1 7 2 3" xfId="1179" xr:uid="{80817151-000E-40DD-83C9-55428DAF5A36}"/>
    <cellStyle name="20% - Accent1 7 2 4" xfId="2007" xr:uid="{6B6AC9EF-356A-42D7-9948-124625450464}"/>
    <cellStyle name="20% - Accent1 7 2 5" xfId="2831" xr:uid="{D2B3A729-1F9B-43B0-808B-DF2D8BC02314}"/>
    <cellStyle name="20% - Accent1 7 2 6" xfId="3655" xr:uid="{324432F0-0D3F-475C-BB35-A8F4E9058631}"/>
    <cellStyle name="20% - Accent1 7 3" xfId="562" xr:uid="{00000000-0005-0000-0000-00003A000000}"/>
    <cellStyle name="20% - Accent1 7 3 2" xfId="1388" xr:uid="{963AA685-8C67-4BC2-9D22-DC78A8176D5A}"/>
    <cellStyle name="20% - Accent1 7 3 3" xfId="2216" xr:uid="{8D129DEA-D806-42B7-A6AE-1D3D2579A166}"/>
    <cellStyle name="20% - Accent1 7 3 4" xfId="3040" xr:uid="{67D41D04-B1C2-4849-A53B-31CDAFAAD641}"/>
    <cellStyle name="20% - Accent1 7 3 5" xfId="3864" xr:uid="{A5048782-B622-43E8-8EB0-C7DB7C5B0708}"/>
    <cellStyle name="20% - Accent1 7 4" xfId="970" xr:uid="{D36422E8-397E-47CA-A376-639EC8F6A818}"/>
    <cellStyle name="20% - Accent1 7 5" xfId="1798" xr:uid="{F237D562-3557-44F4-9F8C-AFE54D598420}"/>
    <cellStyle name="20% - Accent1 7 6" xfId="2622" xr:uid="{7C820E4F-231A-461C-BA71-E78A0B9EF9F2}"/>
    <cellStyle name="20% - Accent1 7 7" xfId="3446" xr:uid="{0311836B-0401-4CF9-8529-E8941659E9D0}"/>
    <cellStyle name="20% - Accent1 8" xfId="236" xr:uid="{00000000-0005-0000-0000-00003B000000}"/>
    <cellStyle name="20% - Accent1 8 2" xfId="654" xr:uid="{00000000-0005-0000-0000-00003C000000}"/>
    <cellStyle name="20% - Accent1 8 2 2" xfId="1480" xr:uid="{2E587073-EB3F-4732-91E2-CE8B3926D45D}"/>
    <cellStyle name="20% - Accent1 8 2 3" xfId="2308" xr:uid="{2271FF4A-CB06-43BE-8A05-6B63180D60D7}"/>
    <cellStyle name="20% - Accent1 8 2 4" xfId="3132" xr:uid="{3E83A305-6EDC-4600-9BD1-2CD2F9BF7791}"/>
    <cellStyle name="20% - Accent1 8 2 5" xfId="3956" xr:uid="{758E8B2A-852E-40C2-AA64-ED4EFDE720F7}"/>
    <cellStyle name="20% - Accent1 8 3" xfId="1062" xr:uid="{5830DD93-37A4-4522-90E3-66E5E99A6BA5}"/>
    <cellStyle name="20% - Accent1 8 4" xfId="1890" xr:uid="{DF34BD32-D638-4AF7-BBF9-4D44C4405A6D}"/>
    <cellStyle name="20% - Accent1 8 5" xfId="2714" xr:uid="{09E7EC56-572A-4C3B-997D-8E78DFDCDDB6}"/>
    <cellStyle name="20% - Accent1 8 6" xfId="3538" xr:uid="{F217B905-285B-4A92-9048-628CC717A881}"/>
    <cellStyle name="20% - Accent1 9" xfId="249" xr:uid="{00000000-0005-0000-0000-00003D000000}"/>
    <cellStyle name="20% - Accent1 9 2" xfId="666" xr:uid="{00000000-0005-0000-0000-00003E000000}"/>
    <cellStyle name="20% - Accent1 9 2 2" xfId="1492" xr:uid="{DCCC0AF9-6A0D-477B-92CC-207748A57902}"/>
    <cellStyle name="20% - Accent1 9 2 3" xfId="2320" xr:uid="{89859093-23CF-4EC5-A54E-B1305D9ACD32}"/>
    <cellStyle name="20% - Accent1 9 2 4" xfId="3144" xr:uid="{FD1520CD-38A6-4D06-BFA1-E6B2D3FAE390}"/>
    <cellStyle name="20% - Accent1 9 2 5" xfId="3968" xr:uid="{E29BC933-A2C7-435B-93BB-53C03451C6F0}"/>
    <cellStyle name="20% - Accent1 9 3" xfId="1075" xr:uid="{B3D5A343-6914-44BA-9C8A-F60CEAD45647}"/>
    <cellStyle name="20% - Accent1 9 4" xfId="1903" xr:uid="{12C31409-460D-482B-A1D4-0D5B397C329E}"/>
    <cellStyle name="20% - Accent1 9 5" xfId="2727" xr:uid="{41C40740-5C6B-40B4-A2F9-FABEF53E0516}"/>
    <cellStyle name="20% - Accent1 9 6" xfId="3551" xr:uid="{698045FC-F936-45DD-A5C5-625F3057137C}"/>
    <cellStyle name="20% - Accent2" xfId="26" builtinId="34" customBuiltin="1"/>
    <cellStyle name="20% - Accent2 10" xfId="447" xr:uid="{00000000-0005-0000-0000-000040000000}"/>
    <cellStyle name="20% - Accent2 10 2" xfId="1273" xr:uid="{D9B7ECAA-E392-4FF2-88F6-2382B7E5AC39}"/>
    <cellStyle name="20% - Accent2 10 3" xfId="2101" xr:uid="{EAF01293-5F88-4C8F-8EAE-76397C52C49B}"/>
    <cellStyle name="20% - Accent2 10 4" xfId="2925" xr:uid="{DC458B89-C708-40B4-ACED-01848AB702ED}"/>
    <cellStyle name="20% - Accent2 10 5" xfId="3749" xr:uid="{A637C91C-7CE7-4C72-B839-4311F9161955}"/>
    <cellStyle name="20% - Accent2 11" xfId="460" xr:uid="{00000000-0005-0000-0000-000041000000}"/>
    <cellStyle name="20% - Accent2 11 2" xfId="1286" xr:uid="{B16CE19B-D560-495C-A3B6-7CF9ECE8B083}"/>
    <cellStyle name="20% - Accent2 11 3" xfId="2114" xr:uid="{147941E1-8308-478D-A3A1-23D90DC0CA30}"/>
    <cellStyle name="20% - Accent2 11 4" xfId="2938" xr:uid="{99DEB650-3876-4792-BF05-6C6AAF965874}"/>
    <cellStyle name="20% - Accent2 11 5" xfId="3762" xr:uid="{6DB811E0-B9F1-4BAC-BF3D-EF661A26D667}"/>
    <cellStyle name="20% - Accent2 12" xfId="865" xr:uid="{E65798BB-399D-4AD1-8E78-E0B5BCFA95E0}"/>
    <cellStyle name="20% - Accent2 13" xfId="1694" xr:uid="{06BB99C9-314A-4F18-9484-DB2BCF6C06A4}"/>
    <cellStyle name="20% - Accent2 14" xfId="2518" xr:uid="{D565FA57-B592-4A9F-B097-75F1E7A1AB29}"/>
    <cellStyle name="20% - Accent2 15" xfId="3342" xr:uid="{2D0E1FC8-5FC2-46ED-BB40-A543129BD068}"/>
    <cellStyle name="20% - Accent2 2" xfId="54" xr:uid="{00000000-0005-0000-0000-000042000000}"/>
    <cellStyle name="20% - Accent2 2 2" xfId="107" xr:uid="{00000000-0005-0000-0000-000043000000}"/>
    <cellStyle name="20% - Accent2 2 2 2" xfId="212" xr:uid="{00000000-0005-0000-0000-000044000000}"/>
    <cellStyle name="20% - Accent2 2 2 2 2" xfId="421" xr:uid="{00000000-0005-0000-0000-000045000000}"/>
    <cellStyle name="20% - Accent2 2 2 2 2 2" xfId="838" xr:uid="{00000000-0005-0000-0000-000046000000}"/>
    <cellStyle name="20% - Accent2 2 2 2 2 2 2" xfId="1664" xr:uid="{0078F6E2-0A46-4758-8A84-FF3C27E91898}"/>
    <cellStyle name="20% - Accent2 2 2 2 2 2 3" xfId="2492" xr:uid="{F3148869-945D-48D6-8B6E-3BCD8A5E0B34}"/>
    <cellStyle name="20% - Accent2 2 2 2 2 2 4" xfId="3316" xr:uid="{6D40E831-0217-4C88-BC52-075D42C41588}"/>
    <cellStyle name="20% - Accent2 2 2 2 2 2 5" xfId="4140" xr:uid="{4CF8BD95-1CEE-4ADA-AB35-58B21000A80D}"/>
    <cellStyle name="20% - Accent2 2 2 2 2 3" xfId="1247" xr:uid="{39D4AA49-2322-4707-8D2E-854FC01474AC}"/>
    <cellStyle name="20% - Accent2 2 2 2 2 4" xfId="2075" xr:uid="{E9263527-A29D-4D80-889A-3923AEA0A5FC}"/>
    <cellStyle name="20% - Accent2 2 2 2 2 5" xfId="2899" xr:uid="{7B31E378-4318-499C-9808-B06964EAA12C}"/>
    <cellStyle name="20% - Accent2 2 2 2 2 6" xfId="3723" xr:uid="{F32CE87C-4A37-4FD0-A587-BC38A3CC2A7A}"/>
    <cellStyle name="20% - Accent2 2 2 2 3" xfId="630" xr:uid="{00000000-0005-0000-0000-000047000000}"/>
    <cellStyle name="20% - Accent2 2 2 2 3 2" xfId="1456" xr:uid="{07083AA8-525C-41D0-87C0-4F971E216EF4}"/>
    <cellStyle name="20% - Accent2 2 2 2 3 3" xfId="2284" xr:uid="{F7881A16-7B15-4355-BA27-F5A46A88366D}"/>
    <cellStyle name="20% - Accent2 2 2 2 3 4" xfId="3108" xr:uid="{780E352E-3C19-4072-A843-4B88DC87AF2A}"/>
    <cellStyle name="20% - Accent2 2 2 2 3 5" xfId="3932" xr:uid="{2206A70A-D015-43F0-96AC-EC210E7590E1}"/>
    <cellStyle name="20% - Accent2 2 2 2 4" xfId="1038" xr:uid="{A8799398-0072-4290-B979-BFC37D70270F}"/>
    <cellStyle name="20% - Accent2 2 2 2 5" xfId="1866" xr:uid="{632679DA-BDC0-445C-98AD-734F8F734623}"/>
    <cellStyle name="20% - Accent2 2 2 2 6" xfId="2690" xr:uid="{8C6A8B87-1E54-4145-8817-6ED2CE1AC0C2}"/>
    <cellStyle name="20% - Accent2 2 2 2 7" xfId="3514" xr:uid="{924A72E6-F870-4C2B-AB8B-3B2EAC3EE660}"/>
    <cellStyle name="20% - Accent2 2 2 3" xfId="317" xr:uid="{00000000-0005-0000-0000-000048000000}"/>
    <cellStyle name="20% - Accent2 2 2 3 2" xfId="734" xr:uid="{00000000-0005-0000-0000-000049000000}"/>
    <cellStyle name="20% - Accent2 2 2 3 2 2" xfId="1560" xr:uid="{B4CAA650-B458-4C0A-AD70-0D8247AFD27A}"/>
    <cellStyle name="20% - Accent2 2 2 3 2 3" xfId="2388" xr:uid="{D110AF1C-E364-41B6-9E7A-186E3DA70DC1}"/>
    <cellStyle name="20% - Accent2 2 2 3 2 4" xfId="3212" xr:uid="{C4EFF425-A84C-4B3F-A82C-B6C87AC4B717}"/>
    <cellStyle name="20% - Accent2 2 2 3 2 5" xfId="4036" xr:uid="{E7888C5B-FDD1-4354-A03E-551156341FCE}"/>
    <cellStyle name="20% - Accent2 2 2 3 3" xfId="1143" xr:uid="{38CBBFA1-DE52-4708-B86C-B8050ED1C3D2}"/>
    <cellStyle name="20% - Accent2 2 2 3 4" xfId="1971" xr:uid="{5D837F00-529A-48F7-A6FB-FC6B5ED93C03}"/>
    <cellStyle name="20% - Accent2 2 2 3 5" xfId="2795" xr:uid="{D27C720C-EB65-4E83-849E-668AD1CAD878}"/>
    <cellStyle name="20% - Accent2 2 2 3 6" xfId="3619" xr:uid="{5F2DA8B4-3009-4E2C-826A-8331EB110A63}"/>
    <cellStyle name="20% - Accent2 2 2 4" xfId="526" xr:uid="{00000000-0005-0000-0000-00004A000000}"/>
    <cellStyle name="20% - Accent2 2 2 4 2" xfId="1352" xr:uid="{836FF39F-8E72-4E0F-BE3F-1E4EB56FB896}"/>
    <cellStyle name="20% - Accent2 2 2 4 3" xfId="2180" xr:uid="{63C5841A-CC67-4986-93FC-15D84223BEEA}"/>
    <cellStyle name="20% - Accent2 2 2 4 4" xfId="3004" xr:uid="{20F2C817-C2EF-452E-85E5-EE94D5E560AD}"/>
    <cellStyle name="20% - Accent2 2 2 4 5" xfId="3828" xr:uid="{52AE528E-BD16-4DE0-A111-C3A8051BE15A}"/>
    <cellStyle name="20% - Accent2 2 2 5" xfId="933" xr:uid="{CD490532-89BE-4DBA-A059-AF935F0D7751}"/>
    <cellStyle name="20% - Accent2 2 2 6" xfId="1761" xr:uid="{F37E9A8A-6B18-4D03-BCEE-69147AC335DF}"/>
    <cellStyle name="20% - Accent2 2 2 7" xfId="2585" xr:uid="{C559DC24-5BA9-49FB-95A0-621E79EBDC5C}"/>
    <cellStyle name="20% - Accent2 2 2 8" xfId="3409" xr:uid="{7D9E2D72-222A-4B1F-AAD1-D5ACCF95D7C4}"/>
    <cellStyle name="20% - Accent2 2 3" xfId="160" xr:uid="{00000000-0005-0000-0000-00004B000000}"/>
    <cellStyle name="20% - Accent2 2 3 2" xfId="369" xr:uid="{00000000-0005-0000-0000-00004C000000}"/>
    <cellStyle name="20% - Accent2 2 3 2 2" xfId="786" xr:uid="{00000000-0005-0000-0000-00004D000000}"/>
    <cellStyle name="20% - Accent2 2 3 2 2 2" xfId="1612" xr:uid="{CBDDDFC2-7DC4-4CE3-A707-C9807E7662F8}"/>
    <cellStyle name="20% - Accent2 2 3 2 2 3" xfId="2440" xr:uid="{14C9CF0C-B107-4326-9C10-A6629A874F94}"/>
    <cellStyle name="20% - Accent2 2 3 2 2 4" xfId="3264" xr:uid="{24411EF0-8B5F-41BC-88D8-6244128EC4EE}"/>
    <cellStyle name="20% - Accent2 2 3 2 2 5" xfId="4088" xr:uid="{54DF378F-A414-4678-83EE-95807A8E6CF4}"/>
    <cellStyle name="20% - Accent2 2 3 2 3" xfId="1195" xr:uid="{FFAD0E28-C738-4014-AB28-2954F7D373A3}"/>
    <cellStyle name="20% - Accent2 2 3 2 4" xfId="2023" xr:uid="{43CDE8BE-6129-448E-BE46-AC743C8895D4}"/>
    <cellStyle name="20% - Accent2 2 3 2 5" xfId="2847" xr:uid="{24FB386E-D19D-4E80-B910-D20943EA3B34}"/>
    <cellStyle name="20% - Accent2 2 3 2 6" xfId="3671" xr:uid="{A32F9BB3-FFA8-4160-8776-EF081C9C72BB}"/>
    <cellStyle name="20% - Accent2 2 3 3" xfId="578" xr:uid="{00000000-0005-0000-0000-00004E000000}"/>
    <cellStyle name="20% - Accent2 2 3 3 2" xfId="1404" xr:uid="{4C3A0F6B-FE38-44DB-9C12-77235C276FFE}"/>
    <cellStyle name="20% - Accent2 2 3 3 3" xfId="2232" xr:uid="{79ACE969-1E71-4C07-BB14-50627B7A7B08}"/>
    <cellStyle name="20% - Accent2 2 3 3 4" xfId="3056" xr:uid="{2B10DFBF-CBD1-455C-AE0B-C835ECC0FBF9}"/>
    <cellStyle name="20% - Accent2 2 3 3 5" xfId="3880" xr:uid="{F309C78F-6A89-438A-8F86-4FA223E18FC6}"/>
    <cellStyle name="20% - Accent2 2 3 4" xfId="986" xr:uid="{3C92E55D-2595-4105-A831-BA35B495FAE6}"/>
    <cellStyle name="20% - Accent2 2 3 5" xfId="1814" xr:uid="{949A728C-4799-427B-8B15-1D4F6C7B8F59}"/>
    <cellStyle name="20% - Accent2 2 3 6" xfId="2638" xr:uid="{85DA5D84-77A5-45C6-B215-D4CB125DFD2C}"/>
    <cellStyle name="20% - Accent2 2 3 7" xfId="3462" xr:uid="{F4976C3C-9FC3-4125-8F44-89E2AD01CCFD}"/>
    <cellStyle name="20% - Accent2 2 4" xfId="265" xr:uid="{00000000-0005-0000-0000-00004F000000}"/>
    <cellStyle name="20% - Accent2 2 4 2" xfId="682" xr:uid="{00000000-0005-0000-0000-000050000000}"/>
    <cellStyle name="20% - Accent2 2 4 2 2" xfId="1508" xr:uid="{7D7485BC-0302-4BF3-8447-0A4918799E5F}"/>
    <cellStyle name="20% - Accent2 2 4 2 3" xfId="2336" xr:uid="{6C22FFE6-23F9-4865-839F-803FBDF14075}"/>
    <cellStyle name="20% - Accent2 2 4 2 4" xfId="3160" xr:uid="{FF0E4942-B826-46A5-9453-525340835779}"/>
    <cellStyle name="20% - Accent2 2 4 2 5" xfId="3984" xr:uid="{DCE36AF0-4AEC-4B18-B30D-1EC62505A762}"/>
    <cellStyle name="20% - Accent2 2 4 3" xfId="1091" xr:uid="{5FA49D0A-4F0F-47CC-8C1F-7D0A723EE769}"/>
    <cellStyle name="20% - Accent2 2 4 4" xfId="1919" xr:uid="{DF06AC87-76A9-472F-8ECF-D98C6B69B610}"/>
    <cellStyle name="20% - Accent2 2 4 5" xfId="2743" xr:uid="{0227508C-C2C3-47DC-8E4A-41C5E5B4F56F}"/>
    <cellStyle name="20% - Accent2 2 4 6" xfId="3567" xr:uid="{0A05AEF8-9543-476B-B4B9-08B7A677682D}"/>
    <cellStyle name="20% - Accent2 2 5" xfId="474" xr:uid="{00000000-0005-0000-0000-000051000000}"/>
    <cellStyle name="20% - Accent2 2 5 2" xfId="1300" xr:uid="{280FC50D-65DC-4AFC-A9AD-A6F9B4597D91}"/>
    <cellStyle name="20% - Accent2 2 5 3" xfId="2128" xr:uid="{7960A54E-2FB3-4241-A784-5323D86DBFE8}"/>
    <cellStyle name="20% - Accent2 2 5 4" xfId="2952" xr:uid="{FF04F036-A772-4D1B-9B10-12FBA92444E5}"/>
    <cellStyle name="20% - Accent2 2 5 5" xfId="3776" xr:uid="{00AE301C-E2FC-4997-BF3F-E2928BEB367D}"/>
    <cellStyle name="20% - Accent2 2 6" xfId="880" xr:uid="{6F6558B1-65A3-426C-91C9-D54F58ACCAB1}"/>
    <cellStyle name="20% - Accent2 2 7" xfId="1708" xr:uid="{3B73BB80-5DE5-4E3B-96A5-6A0DE13731C5}"/>
    <cellStyle name="20% - Accent2 2 8" xfId="2532" xr:uid="{FA93CD0A-1A75-4858-91E5-0DD98554983E}"/>
    <cellStyle name="20% - Accent2 2 9" xfId="3356" xr:uid="{0429366F-0F80-4DBD-AEB9-A669691FFD1C}"/>
    <cellStyle name="20% - Accent2 3" xfId="67" xr:uid="{00000000-0005-0000-0000-000052000000}"/>
    <cellStyle name="20% - Accent2 3 2" xfId="120" xr:uid="{00000000-0005-0000-0000-000053000000}"/>
    <cellStyle name="20% - Accent2 3 2 2" xfId="225" xr:uid="{00000000-0005-0000-0000-000054000000}"/>
    <cellStyle name="20% - Accent2 3 2 2 2" xfId="434" xr:uid="{00000000-0005-0000-0000-000055000000}"/>
    <cellStyle name="20% - Accent2 3 2 2 2 2" xfId="851" xr:uid="{00000000-0005-0000-0000-000056000000}"/>
    <cellStyle name="20% - Accent2 3 2 2 2 2 2" xfId="1677" xr:uid="{F7FFEF96-B1C9-4BFB-991F-529CCEE56392}"/>
    <cellStyle name="20% - Accent2 3 2 2 2 2 3" xfId="2505" xr:uid="{A49A8E89-A1DF-432F-BBE2-9F52FB73E8DE}"/>
    <cellStyle name="20% - Accent2 3 2 2 2 2 4" xfId="3329" xr:uid="{6E89C26E-AB2A-4F9F-AAC2-A6DDDB432852}"/>
    <cellStyle name="20% - Accent2 3 2 2 2 2 5" xfId="4153" xr:uid="{85FAC837-122D-42CA-BC6C-4429F2E537C2}"/>
    <cellStyle name="20% - Accent2 3 2 2 2 3" xfId="1260" xr:uid="{531C8ECD-0C03-4D57-BF87-B38263EBADEB}"/>
    <cellStyle name="20% - Accent2 3 2 2 2 4" xfId="2088" xr:uid="{8FD67354-031E-417D-A252-C8F9464CFF10}"/>
    <cellStyle name="20% - Accent2 3 2 2 2 5" xfId="2912" xr:uid="{1C3BFCEB-ECAB-4A7D-A7D4-2A12466B3837}"/>
    <cellStyle name="20% - Accent2 3 2 2 2 6" xfId="3736" xr:uid="{5C60D00E-925B-4602-A4D6-1F1DE2454E76}"/>
    <cellStyle name="20% - Accent2 3 2 2 3" xfId="643" xr:uid="{00000000-0005-0000-0000-000057000000}"/>
    <cellStyle name="20% - Accent2 3 2 2 3 2" xfId="1469" xr:uid="{C2B6C918-DC03-46E7-88B8-4739360E8E2A}"/>
    <cellStyle name="20% - Accent2 3 2 2 3 3" xfId="2297" xr:uid="{57BBA3FF-F9E1-4165-954A-4B31E59B8F2D}"/>
    <cellStyle name="20% - Accent2 3 2 2 3 4" xfId="3121" xr:uid="{C897E2EF-CBC9-4671-B1AC-0AAF591965B7}"/>
    <cellStyle name="20% - Accent2 3 2 2 3 5" xfId="3945" xr:uid="{37E6A794-771C-4C5D-83BB-C31DEA243C69}"/>
    <cellStyle name="20% - Accent2 3 2 2 4" xfId="1051" xr:uid="{135FD6C7-7CDC-4689-9A5A-B0C75E716543}"/>
    <cellStyle name="20% - Accent2 3 2 2 5" xfId="1879" xr:uid="{E788D18E-6108-4282-A107-EA3C86711976}"/>
    <cellStyle name="20% - Accent2 3 2 2 6" xfId="2703" xr:uid="{517FDE9B-EC8E-470E-A36F-5BC4792D87A9}"/>
    <cellStyle name="20% - Accent2 3 2 2 7" xfId="3527" xr:uid="{D08F81B2-29EF-454D-B095-09EE156D0F1F}"/>
    <cellStyle name="20% - Accent2 3 2 3" xfId="330" xr:uid="{00000000-0005-0000-0000-000058000000}"/>
    <cellStyle name="20% - Accent2 3 2 3 2" xfId="747" xr:uid="{00000000-0005-0000-0000-000059000000}"/>
    <cellStyle name="20% - Accent2 3 2 3 2 2" xfId="1573" xr:uid="{AD9DB9B0-24C4-4420-8D06-51438F5AB351}"/>
    <cellStyle name="20% - Accent2 3 2 3 2 3" xfId="2401" xr:uid="{D46A7A8A-0602-40AC-B2CB-CB6D8C24CEC6}"/>
    <cellStyle name="20% - Accent2 3 2 3 2 4" xfId="3225" xr:uid="{917460C4-5695-455D-AC50-A22453DD498C}"/>
    <cellStyle name="20% - Accent2 3 2 3 2 5" xfId="4049" xr:uid="{FF66C828-08C9-4902-B30C-76F480A3895F}"/>
    <cellStyle name="20% - Accent2 3 2 3 3" xfId="1156" xr:uid="{7EAB24A8-351E-4C08-B95E-ABD97FA11C24}"/>
    <cellStyle name="20% - Accent2 3 2 3 4" xfId="1984" xr:uid="{DEE78DC3-259C-4036-ABD6-2208832FB687}"/>
    <cellStyle name="20% - Accent2 3 2 3 5" xfId="2808" xr:uid="{0E6FD12F-ECFD-4D33-B0AB-4FD719A4C887}"/>
    <cellStyle name="20% - Accent2 3 2 3 6" xfId="3632" xr:uid="{F6C48E61-E5B3-4242-A206-56462BE84A8D}"/>
    <cellStyle name="20% - Accent2 3 2 4" xfId="539" xr:uid="{00000000-0005-0000-0000-00005A000000}"/>
    <cellStyle name="20% - Accent2 3 2 4 2" xfId="1365" xr:uid="{CADEBE3B-E74D-4936-A613-2394681340E3}"/>
    <cellStyle name="20% - Accent2 3 2 4 3" xfId="2193" xr:uid="{0D971479-AD6A-48C6-BFCD-1D6CF5028844}"/>
    <cellStyle name="20% - Accent2 3 2 4 4" xfId="3017" xr:uid="{E89EF988-30EE-4A34-90E3-43CEFE7FC832}"/>
    <cellStyle name="20% - Accent2 3 2 4 5" xfId="3841" xr:uid="{FE03C218-01F6-4419-9969-6FED98EE4AB6}"/>
    <cellStyle name="20% - Accent2 3 2 5" xfId="946" xr:uid="{D9B6350E-D231-44BE-A1FB-B5649E0B002B}"/>
    <cellStyle name="20% - Accent2 3 2 6" xfId="1774" xr:uid="{8839A34A-BD0C-4B72-86F4-E306B461EC5F}"/>
    <cellStyle name="20% - Accent2 3 2 7" xfId="2598" xr:uid="{0BEEB506-941A-444A-8AA9-F5C2AB727534}"/>
    <cellStyle name="20% - Accent2 3 2 8" xfId="3422" xr:uid="{1BAF45DA-704B-4F58-B275-787E0141666A}"/>
    <cellStyle name="20% - Accent2 3 3" xfId="173" xr:uid="{00000000-0005-0000-0000-00005B000000}"/>
    <cellStyle name="20% - Accent2 3 3 2" xfId="382" xr:uid="{00000000-0005-0000-0000-00005C000000}"/>
    <cellStyle name="20% - Accent2 3 3 2 2" xfId="799" xr:uid="{00000000-0005-0000-0000-00005D000000}"/>
    <cellStyle name="20% - Accent2 3 3 2 2 2" xfId="1625" xr:uid="{C0472EE0-70BD-4F41-BB96-F9BCF1983A5B}"/>
    <cellStyle name="20% - Accent2 3 3 2 2 3" xfId="2453" xr:uid="{02D5291A-9EAF-45B8-98BD-0469A71C853E}"/>
    <cellStyle name="20% - Accent2 3 3 2 2 4" xfId="3277" xr:uid="{93240246-662B-493D-88EC-35EC18101CF2}"/>
    <cellStyle name="20% - Accent2 3 3 2 2 5" xfId="4101" xr:uid="{37DFCF8F-49DF-4380-9AFF-C6A162426F44}"/>
    <cellStyle name="20% - Accent2 3 3 2 3" xfId="1208" xr:uid="{29544EC2-FDD5-4101-AE97-FA25C0E2ADDF}"/>
    <cellStyle name="20% - Accent2 3 3 2 4" xfId="2036" xr:uid="{081FAECD-CC9D-4F68-9A1F-040CF36D06BB}"/>
    <cellStyle name="20% - Accent2 3 3 2 5" xfId="2860" xr:uid="{83BB535E-1952-4F09-A895-F5DA611F4402}"/>
    <cellStyle name="20% - Accent2 3 3 2 6" xfId="3684" xr:uid="{6515C32C-22E1-44FD-8E60-4A998F471FC9}"/>
    <cellStyle name="20% - Accent2 3 3 3" xfId="591" xr:uid="{00000000-0005-0000-0000-00005E000000}"/>
    <cellStyle name="20% - Accent2 3 3 3 2" xfId="1417" xr:uid="{96C63E76-4AFD-4396-82AD-3DF0A146D225}"/>
    <cellStyle name="20% - Accent2 3 3 3 3" xfId="2245" xr:uid="{2EC02DE4-6EA9-465B-B3BC-6B97AEBB662E}"/>
    <cellStyle name="20% - Accent2 3 3 3 4" xfId="3069" xr:uid="{F6CDC7E3-F889-45E3-B228-A4D4948616E6}"/>
    <cellStyle name="20% - Accent2 3 3 3 5" xfId="3893" xr:uid="{D73A1894-FA56-44FD-B7E5-EF70516EE9BA}"/>
    <cellStyle name="20% - Accent2 3 3 4" xfId="999" xr:uid="{E787BFBA-96F4-45E0-A7E8-7E3A1E674C54}"/>
    <cellStyle name="20% - Accent2 3 3 5" xfId="1827" xr:uid="{6A9E279F-B472-4352-AFAD-B502B96C298C}"/>
    <cellStyle name="20% - Accent2 3 3 6" xfId="2651" xr:uid="{859A4F31-C4A1-4864-85A2-24B13EB4AE69}"/>
    <cellStyle name="20% - Accent2 3 3 7" xfId="3475" xr:uid="{08B59424-4943-4621-AA7C-1D9F76CE2021}"/>
    <cellStyle name="20% - Accent2 3 4" xfId="278" xr:uid="{00000000-0005-0000-0000-00005F000000}"/>
    <cellStyle name="20% - Accent2 3 4 2" xfId="695" xr:uid="{00000000-0005-0000-0000-000060000000}"/>
    <cellStyle name="20% - Accent2 3 4 2 2" xfId="1521" xr:uid="{EDD78DD6-185B-4D71-B8DC-0256933CFAD7}"/>
    <cellStyle name="20% - Accent2 3 4 2 3" xfId="2349" xr:uid="{1EB73D16-61A6-4EA9-A27F-E1A425818224}"/>
    <cellStyle name="20% - Accent2 3 4 2 4" xfId="3173" xr:uid="{FAE4B353-8BDE-4A3A-9099-66D22E80097B}"/>
    <cellStyle name="20% - Accent2 3 4 2 5" xfId="3997" xr:uid="{8D2F51C2-ED27-446A-9C96-01921E7F8AA1}"/>
    <cellStyle name="20% - Accent2 3 4 3" xfId="1104" xr:uid="{C9703F28-5304-4E52-8B81-486FAF894D5F}"/>
    <cellStyle name="20% - Accent2 3 4 4" xfId="1932" xr:uid="{2331E919-ED3A-4103-B40B-A8AE1D142364}"/>
    <cellStyle name="20% - Accent2 3 4 5" xfId="2756" xr:uid="{EDE6A49C-4EAE-4A84-8390-BB3CD0E8C34C}"/>
    <cellStyle name="20% - Accent2 3 4 6" xfId="3580" xr:uid="{F50476CF-213F-4AE1-BBA1-8FA723470998}"/>
    <cellStyle name="20% - Accent2 3 5" xfId="487" xr:uid="{00000000-0005-0000-0000-000061000000}"/>
    <cellStyle name="20% - Accent2 3 5 2" xfId="1313" xr:uid="{E61881AD-85DC-4F1F-B307-CAC12CF79092}"/>
    <cellStyle name="20% - Accent2 3 5 3" xfId="2141" xr:uid="{7316C42A-ECE4-4948-824D-617FE887868E}"/>
    <cellStyle name="20% - Accent2 3 5 4" xfId="2965" xr:uid="{1CF1D035-178D-48E9-ACB3-CED2F3E7A354}"/>
    <cellStyle name="20% - Accent2 3 5 5" xfId="3789" xr:uid="{E7D1A8DC-5344-4CA3-BD68-4214D042E040}"/>
    <cellStyle name="20% - Accent2 3 6" xfId="893" xr:uid="{1A43D978-0E76-44E9-B3A0-AFFBE507CBB4}"/>
    <cellStyle name="20% - Accent2 3 7" xfId="1721" xr:uid="{D8F54D7B-9671-4089-A028-21A52A218FE8}"/>
    <cellStyle name="20% - Accent2 3 8" xfId="2545" xr:uid="{4E1C3542-DAEC-4C96-8AD9-5202107990F6}"/>
    <cellStyle name="20% - Accent2 3 9" xfId="3369" xr:uid="{7EFD202C-2069-4E4C-99EF-EEB3035363FD}"/>
    <cellStyle name="20% - Accent2 4" xfId="80" xr:uid="{00000000-0005-0000-0000-000062000000}"/>
    <cellStyle name="20% - Accent2 4 2" xfId="186" xr:uid="{00000000-0005-0000-0000-000063000000}"/>
    <cellStyle name="20% - Accent2 4 2 2" xfId="395" xr:uid="{00000000-0005-0000-0000-000064000000}"/>
    <cellStyle name="20% - Accent2 4 2 2 2" xfId="812" xr:uid="{00000000-0005-0000-0000-000065000000}"/>
    <cellStyle name="20% - Accent2 4 2 2 2 2" xfId="1638" xr:uid="{A1D16541-A2EB-43D2-935E-EA9253BB8291}"/>
    <cellStyle name="20% - Accent2 4 2 2 2 3" xfId="2466" xr:uid="{7ACEEF19-9558-40EE-B694-5EE6D981DC49}"/>
    <cellStyle name="20% - Accent2 4 2 2 2 4" xfId="3290" xr:uid="{6A437094-3D96-4F20-8248-1920E90E5FA6}"/>
    <cellStyle name="20% - Accent2 4 2 2 2 5" xfId="4114" xr:uid="{D6500575-CD1B-4E3A-A997-93FECD907871}"/>
    <cellStyle name="20% - Accent2 4 2 2 3" xfId="1221" xr:uid="{02817040-765C-4082-B763-EA04AAE01CA0}"/>
    <cellStyle name="20% - Accent2 4 2 2 4" xfId="2049" xr:uid="{E8CF2674-535D-4A6C-BE9B-5768D2EB6AF7}"/>
    <cellStyle name="20% - Accent2 4 2 2 5" xfId="2873" xr:uid="{B6904F37-D733-4057-AFC1-80416026771B}"/>
    <cellStyle name="20% - Accent2 4 2 2 6" xfId="3697" xr:uid="{1CCDDBE3-CA98-439F-A532-514628E8ED75}"/>
    <cellStyle name="20% - Accent2 4 2 3" xfId="604" xr:uid="{00000000-0005-0000-0000-000066000000}"/>
    <cellStyle name="20% - Accent2 4 2 3 2" xfId="1430" xr:uid="{509D6DE0-711F-493B-95FB-3172173E912F}"/>
    <cellStyle name="20% - Accent2 4 2 3 3" xfId="2258" xr:uid="{F2A1D975-E5A0-4155-A240-232EFEE798C2}"/>
    <cellStyle name="20% - Accent2 4 2 3 4" xfId="3082" xr:uid="{BB2737DC-3224-403A-95AF-34BD04F01E70}"/>
    <cellStyle name="20% - Accent2 4 2 3 5" xfId="3906" xr:uid="{46CE82F2-F045-403D-99C9-12DFE22F1D8B}"/>
    <cellStyle name="20% - Accent2 4 2 4" xfId="1012" xr:uid="{F558AF6F-F5D7-4FD1-AE9C-247A822EA7D1}"/>
    <cellStyle name="20% - Accent2 4 2 5" xfId="1840" xr:uid="{852FD3DF-E17E-48A0-A53E-BE0AA7E8D304}"/>
    <cellStyle name="20% - Accent2 4 2 6" xfId="2664" xr:uid="{2C12B39C-09D2-4795-B570-E941E27264F7}"/>
    <cellStyle name="20% - Accent2 4 2 7" xfId="3488" xr:uid="{EA5613A4-77DE-4E25-8DFD-4A34EAA80E6B}"/>
    <cellStyle name="20% - Accent2 4 3" xfId="291" xr:uid="{00000000-0005-0000-0000-000067000000}"/>
    <cellStyle name="20% - Accent2 4 3 2" xfId="708" xr:uid="{00000000-0005-0000-0000-000068000000}"/>
    <cellStyle name="20% - Accent2 4 3 2 2" xfId="1534" xr:uid="{811BCDD0-78FD-4817-A345-BE89AE6AF235}"/>
    <cellStyle name="20% - Accent2 4 3 2 3" xfId="2362" xr:uid="{9908E07F-839F-419D-ABAE-6999B052758E}"/>
    <cellStyle name="20% - Accent2 4 3 2 4" xfId="3186" xr:uid="{2D4450DC-B72A-481E-98E2-8C5706A1E9CF}"/>
    <cellStyle name="20% - Accent2 4 3 2 5" xfId="4010" xr:uid="{18642B47-9B73-467C-A0D8-34D3768A55BB}"/>
    <cellStyle name="20% - Accent2 4 3 3" xfId="1117" xr:uid="{32EDB80D-8066-4FCE-B241-03B78EBA0637}"/>
    <cellStyle name="20% - Accent2 4 3 4" xfId="1945" xr:uid="{543A252C-4671-4FCE-915B-182904B17F27}"/>
    <cellStyle name="20% - Accent2 4 3 5" xfId="2769" xr:uid="{ADED0F4C-21F3-448B-BE85-849390400063}"/>
    <cellStyle name="20% - Accent2 4 3 6" xfId="3593" xr:uid="{8564A4C2-446A-4058-B001-14A9BC2E94BC}"/>
    <cellStyle name="20% - Accent2 4 4" xfId="500" xr:uid="{00000000-0005-0000-0000-000069000000}"/>
    <cellStyle name="20% - Accent2 4 4 2" xfId="1326" xr:uid="{BE188BA1-B0CA-4A25-BC5E-D447A049679A}"/>
    <cellStyle name="20% - Accent2 4 4 3" xfId="2154" xr:uid="{30E5F566-2270-4EB6-A688-57CEFB7536AC}"/>
    <cellStyle name="20% - Accent2 4 4 4" xfId="2978" xr:uid="{5EE1537F-4FBB-4B90-8F91-9201AF2765BC}"/>
    <cellStyle name="20% - Accent2 4 4 5" xfId="3802" xr:uid="{F86146D7-F9A1-449C-AF83-12C9231F6D2B}"/>
    <cellStyle name="20% - Accent2 4 5" xfId="906" xr:uid="{8E84FAF3-C2C2-4154-994D-B2D7EB62318E}"/>
    <cellStyle name="20% - Accent2 4 6" xfId="1734" xr:uid="{F809ACD5-957B-46A1-A4F7-D624C8B862FD}"/>
    <cellStyle name="20% - Accent2 4 7" xfId="2558" xr:uid="{4B02B8FB-1E5D-4B22-9888-B76E449F7ACD}"/>
    <cellStyle name="20% - Accent2 4 8" xfId="3382" xr:uid="{BAC26D4F-3428-4E52-AFE3-66D38CAE6F45}"/>
    <cellStyle name="20% - Accent2 5" xfId="93" xr:uid="{00000000-0005-0000-0000-00006A000000}"/>
    <cellStyle name="20% - Accent2 5 2" xfId="198" xr:uid="{00000000-0005-0000-0000-00006B000000}"/>
    <cellStyle name="20% - Accent2 5 2 2" xfId="407" xr:uid="{00000000-0005-0000-0000-00006C000000}"/>
    <cellStyle name="20% - Accent2 5 2 2 2" xfId="824" xr:uid="{00000000-0005-0000-0000-00006D000000}"/>
    <cellStyle name="20% - Accent2 5 2 2 2 2" xfId="1650" xr:uid="{7A493A4E-8A31-4539-83E3-5349C12E5524}"/>
    <cellStyle name="20% - Accent2 5 2 2 2 3" xfId="2478" xr:uid="{43CA37A7-3549-4E28-90B7-D4D227DE7E7C}"/>
    <cellStyle name="20% - Accent2 5 2 2 2 4" xfId="3302" xr:uid="{1F298EA8-35D7-4A7A-8EFB-12F55423BD70}"/>
    <cellStyle name="20% - Accent2 5 2 2 2 5" xfId="4126" xr:uid="{85E3B0A8-836E-4AFE-BE78-275D92B4A0C9}"/>
    <cellStyle name="20% - Accent2 5 2 2 3" xfId="1233" xr:uid="{540541AA-A67C-4435-850E-760255D8F63C}"/>
    <cellStyle name="20% - Accent2 5 2 2 4" xfId="2061" xr:uid="{1D004DAE-0BE3-4AC8-B60F-2315D8952322}"/>
    <cellStyle name="20% - Accent2 5 2 2 5" xfId="2885" xr:uid="{887CB91A-78C2-4A96-A993-AF87ADEE9CDC}"/>
    <cellStyle name="20% - Accent2 5 2 2 6" xfId="3709" xr:uid="{7E86D716-FD3B-48BE-BAA2-3CDF48AA7479}"/>
    <cellStyle name="20% - Accent2 5 2 3" xfId="616" xr:uid="{00000000-0005-0000-0000-00006E000000}"/>
    <cellStyle name="20% - Accent2 5 2 3 2" xfId="1442" xr:uid="{E0793FA9-8184-4EED-96FA-075785C88E6A}"/>
    <cellStyle name="20% - Accent2 5 2 3 3" xfId="2270" xr:uid="{77F2D69E-3D04-4C95-B2A4-EEDA4A2E081D}"/>
    <cellStyle name="20% - Accent2 5 2 3 4" xfId="3094" xr:uid="{21DAB366-5366-4433-A494-A1E5CD50A49E}"/>
    <cellStyle name="20% - Accent2 5 2 3 5" xfId="3918" xr:uid="{29FD9760-8F52-4444-B452-B966ECB77E09}"/>
    <cellStyle name="20% - Accent2 5 2 4" xfId="1024" xr:uid="{226193EC-D694-4BA0-B3F4-1B1BD4C26772}"/>
    <cellStyle name="20% - Accent2 5 2 5" xfId="1852" xr:uid="{9942DEBC-060D-4F0D-B327-727C622DC208}"/>
    <cellStyle name="20% - Accent2 5 2 6" xfId="2676" xr:uid="{3DE42EBB-7EF3-4C96-9D14-AFCEF48C421B}"/>
    <cellStyle name="20% - Accent2 5 2 7" xfId="3500" xr:uid="{B6D163F2-9A02-498F-A08D-27EF847851E6}"/>
    <cellStyle name="20% - Accent2 5 3" xfId="303" xr:uid="{00000000-0005-0000-0000-00006F000000}"/>
    <cellStyle name="20% - Accent2 5 3 2" xfId="720" xr:uid="{00000000-0005-0000-0000-000070000000}"/>
    <cellStyle name="20% - Accent2 5 3 2 2" xfId="1546" xr:uid="{2F8F5294-68A4-4311-AB68-ECEE4CD3C0B1}"/>
    <cellStyle name="20% - Accent2 5 3 2 3" xfId="2374" xr:uid="{B2FEAA7C-BD39-4221-B9D5-C4E0633D4CDD}"/>
    <cellStyle name="20% - Accent2 5 3 2 4" xfId="3198" xr:uid="{465CBE2D-F384-4874-9F36-C8A26E75B08B}"/>
    <cellStyle name="20% - Accent2 5 3 2 5" xfId="4022" xr:uid="{3A82ECF0-A153-4B54-B0B1-A265FCE800BB}"/>
    <cellStyle name="20% - Accent2 5 3 3" xfId="1129" xr:uid="{0E8ABA71-F26C-44A9-A769-601E7CFEBA2A}"/>
    <cellStyle name="20% - Accent2 5 3 4" xfId="1957" xr:uid="{2A58C445-AF27-4FD9-8846-C2A759FFEE1B}"/>
    <cellStyle name="20% - Accent2 5 3 5" xfId="2781" xr:uid="{903646A0-E4AD-4A98-B2DF-86A721D8D95B}"/>
    <cellStyle name="20% - Accent2 5 3 6" xfId="3605" xr:uid="{4EEAF780-7EF1-497B-A05B-514641FDD954}"/>
    <cellStyle name="20% - Accent2 5 4" xfId="512" xr:uid="{00000000-0005-0000-0000-000071000000}"/>
    <cellStyle name="20% - Accent2 5 4 2" xfId="1338" xr:uid="{18D7DB07-51F4-46E1-9C91-5D1D0436ED32}"/>
    <cellStyle name="20% - Accent2 5 4 3" xfId="2166" xr:uid="{0E15DF5D-1B66-4ED5-B799-08DE68C75A90}"/>
    <cellStyle name="20% - Accent2 5 4 4" xfId="2990" xr:uid="{DDA240B6-AA2C-4862-ACE1-2FA6A11BE215}"/>
    <cellStyle name="20% - Accent2 5 4 5" xfId="3814" xr:uid="{D7935625-90ED-49D1-B193-19A57026519B}"/>
    <cellStyle name="20% - Accent2 5 5" xfId="919" xr:uid="{FD65E82B-8D29-4312-ACB4-A25AC726982B}"/>
    <cellStyle name="20% - Accent2 5 6" xfId="1747" xr:uid="{A899E29E-70AC-462E-99CD-B1A3EF58C029}"/>
    <cellStyle name="20% - Accent2 5 7" xfId="2571" xr:uid="{A7177A4B-22EA-475F-8412-EB1DD04C2161}"/>
    <cellStyle name="20% - Accent2 5 8" xfId="3395" xr:uid="{1DAEDE70-4BAA-4020-9D3E-9EA8A06A6F86}"/>
    <cellStyle name="20% - Accent2 6" xfId="133" xr:uid="{00000000-0005-0000-0000-000072000000}"/>
    <cellStyle name="20% - Accent2 6 2" xfId="343" xr:uid="{00000000-0005-0000-0000-000073000000}"/>
    <cellStyle name="20% - Accent2 6 2 2" xfId="760" xr:uid="{00000000-0005-0000-0000-000074000000}"/>
    <cellStyle name="20% - Accent2 6 2 2 2" xfId="1586" xr:uid="{6740F69F-4405-4B7B-8515-C585C0DD365C}"/>
    <cellStyle name="20% - Accent2 6 2 2 3" xfId="2414" xr:uid="{1DDAA829-142C-4D47-92E1-BC1399AF5F8C}"/>
    <cellStyle name="20% - Accent2 6 2 2 4" xfId="3238" xr:uid="{E859715D-7DC7-4868-A80B-7582C90CDBDD}"/>
    <cellStyle name="20% - Accent2 6 2 2 5" xfId="4062" xr:uid="{D91B7F3C-88A2-4ED3-9839-63069645A1E5}"/>
    <cellStyle name="20% - Accent2 6 2 3" xfId="1169" xr:uid="{3AF46B0B-FE81-4D02-9EDD-C571EA239278}"/>
    <cellStyle name="20% - Accent2 6 2 4" xfId="1997" xr:uid="{755C1A93-3D6D-4CA9-94F1-45A06BA4C2B9}"/>
    <cellStyle name="20% - Accent2 6 2 5" xfId="2821" xr:uid="{AD2B3962-360B-4C65-84C7-4085973EE055}"/>
    <cellStyle name="20% - Accent2 6 2 6" xfId="3645" xr:uid="{788CEC3E-EEB4-4214-B14B-B0DE207CA2DB}"/>
    <cellStyle name="20% - Accent2 6 3" xfId="552" xr:uid="{00000000-0005-0000-0000-000075000000}"/>
    <cellStyle name="20% - Accent2 6 3 2" xfId="1378" xr:uid="{8694FF7F-919B-4B4E-87DA-2ADB65918F4E}"/>
    <cellStyle name="20% - Accent2 6 3 3" xfId="2206" xr:uid="{AE4C10CB-92B6-487D-8D86-0E29F71E0177}"/>
    <cellStyle name="20% - Accent2 6 3 4" xfId="3030" xr:uid="{A33FB982-996A-49FD-A100-4E214FFDCCFD}"/>
    <cellStyle name="20% - Accent2 6 3 5" xfId="3854" xr:uid="{584C1BF8-ABC8-4516-ACE0-66B4186F45D2}"/>
    <cellStyle name="20% - Accent2 6 4" xfId="959" xr:uid="{A46EC13F-EADC-43B9-AFFD-3CB55C5A825B}"/>
    <cellStyle name="20% - Accent2 6 5" xfId="1787" xr:uid="{E4AFB812-A084-4FE5-B9CC-1B55C66312EF}"/>
    <cellStyle name="20% - Accent2 6 6" xfId="2611" xr:uid="{3E392133-708A-490E-BAF2-440101072DC8}"/>
    <cellStyle name="20% - Accent2 6 7" xfId="3435" xr:uid="{974FDB15-24A8-45EA-AA36-FF039982AB84}"/>
    <cellStyle name="20% - Accent2 7" xfId="146" xr:uid="{00000000-0005-0000-0000-000076000000}"/>
    <cellStyle name="20% - Accent2 7 2" xfId="355" xr:uid="{00000000-0005-0000-0000-000077000000}"/>
    <cellStyle name="20% - Accent2 7 2 2" xfId="772" xr:uid="{00000000-0005-0000-0000-000078000000}"/>
    <cellStyle name="20% - Accent2 7 2 2 2" xfId="1598" xr:uid="{68977E77-FE00-4FE8-84CF-8CCDE481553D}"/>
    <cellStyle name="20% - Accent2 7 2 2 3" xfId="2426" xr:uid="{FCEBD383-C4D1-4B43-BC04-414B542D38AE}"/>
    <cellStyle name="20% - Accent2 7 2 2 4" xfId="3250" xr:uid="{FC173761-1868-4B7D-8F09-8059F20D5AB8}"/>
    <cellStyle name="20% - Accent2 7 2 2 5" xfId="4074" xr:uid="{081142AC-0CC8-4FFD-98C2-218FD0863D09}"/>
    <cellStyle name="20% - Accent2 7 2 3" xfId="1181" xr:uid="{34F38818-5D35-47DB-8FB7-AC5BEC7F18CE}"/>
    <cellStyle name="20% - Accent2 7 2 4" xfId="2009" xr:uid="{327360E0-2E71-4915-B4BA-1613C23DC601}"/>
    <cellStyle name="20% - Accent2 7 2 5" xfId="2833" xr:uid="{D356F8AE-80E6-420C-BE77-1FBDBF8EB52F}"/>
    <cellStyle name="20% - Accent2 7 2 6" xfId="3657" xr:uid="{71F78B53-8D3F-4174-A6CD-8D5D35321486}"/>
    <cellStyle name="20% - Accent2 7 3" xfId="564" xr:uid="{00000000-0005-0000-0000-000079000000}"/>
    <cellStyle name="20% - Accent2 7 3 2" xfId="1390" xr:uid="{525DE8B1-20BD-4037-8F28-A84EEEF8EAC8}"/>
    <cellStyle name="20% - Accent2 7 3 3" xfId="2218" xr:uid="{703B12A7-D87A-48FE-96ED-A7AA2E87F5D9}"/>
    <cellStyle name="20% - Accent2 7 3 4" xfId="3042" xr:uid="{16E4BBE7-F7B0-4B94-8F0D-49FD1F110D60}"/>
    <cellStyle name="20% - Accent2 7 3 5" xfId="3866" xr:uid="{F91C4D46-C032-4DC7-B277-83A13AD85C2F}"/>
    <cellStyle name="20% - Accent2 7 4" xfId="972" xr:uid="{5CFAA3E0-2CA0-45CE-A5A9-B11D7C0609A6}"/>
    <cellStyle name="20% - Accent2 7 5" xfId="1800" xr:uid="{DBE71692-6CC3-46D1-BF53-C5AAEB14D150}"/>
    <cellStyle name="20% - Accent2 7 6" xfId="2624" xr:uid="{D695E8DC-699A-42DD-98B3-8ED0156C4FF4}"/>
    <cellStyle name="20% - Accent2 7 7" xfId="3448" xr:uid="{C1883E52-6460-492D-8970-F8136CA8A15F}"/>
    <cellStyle name="20% - Accent2 8" xfId="238" xr:uid="{00000000-0005-0000-0000-00007A000000}"/>
    <cellStyle name="20% - Accent2 8 2" xfId="656" xr:uid="{00000000-0005-0000-0000-00007B000000}"/>
    <cellStyle name="20% - Accent2 8 2 2" xfId="1482" xr:uid="{4D71622C-FACD-402A-A1E1-E8A3D6E78815}"/>
    <cellStyle name="20% - Accent2 8 2 3" xfId="2310" xr:uid="{E52FC303-574C-4887-A1B1-B74082C9C1F0}"/>
    <cellStyle name="20% - Accent2 8 2 4" xfId="3134" xr:uid="{BD99443F-19F9-488B-949B-135311310A05}"/>
    <cellStyle name="20% - Accent2 8 2 5" xfId="3958" xr:uid="{EBF2B929-3A4E-49C4-B04E-363C3F479115}"/>
    <cellStyle name="20% - Accent2 8 3" xfId="1064" xr:uid="{66B5F8C9-755B-4D2F-BB4F-BCB5E69FB53C}"/>
    <cellStyle name="20% - Accent2 8 4" xfId="1892" xr:uid="{DB1787DE-3161-4ECA-871F-418E0BA8DEA5}"/>
    <cellStyle name="20% - Accent2 8 5" xfId="2716" xr:uid="{5B34957B-2359-4F51-A565-9C79A3EE0582}"/>
    <cellStyle name="20% - Accent2 8 6" xfId="3540" xr:uid="{12134D2D-3CA7-4883-ACEC-66172167FC78}"/>
    <cellStyle name="20% - Accent2 9" xfId="251" xr:uid="{00000000-0005-0000-0000-00007C000000}"/>
    <cellStyle name="20% - Accent2 9 2" xfId="668" xr:uid="{00000000-0005-0000-0000-00007D000000}"/>
    <cellStyle name="20% - Accent2 9 2 2" xfId="1494" xr:uid="{AC844DA8-4DBA-4EC4-83B1-E731421F7416}"/>
    <cellStyle name="20% - Accent2 9 2 3" xfId="2322" xr:uid="{B59AA4C5-8722-4604-8B5B-BBDD113A06FB}"/>
    <cellStyle name="20% - Accent2 9 2 4" xfId="3146" xr:uid="{8F4EE915-616D-4A38-9E25-464FC13648FD}"/>
    <cellStyle name="20% - Accent2 9 2 5" xfId="3970" xr:uid="{FE1B0EA8-9553-4086-B151-AEC0E733165F}"/>
    <cellStyle name="20% - Accent2 9 3" xfId="1077" xr:uid="{5C91175B-CB0A-4AB7-8E8D-C4966D0632EE}"/>
    <cellStyle name="20% - Accent2 9 4" xfId="1905" xr:uid="{0B2F1037-0892-40A1-A2B1-9EB2D1602ED9}"/>
    <cellStyle name="20% - Accent2 9 5" xfId="2729" xr:uid="{ABCD56E2-DFDA-44B3-AB19-01B7E341B5E0}"/>
    <cellStyle name="20% - Accent2 9 6" xfId="3553" xr:uid="{48080105-86EF-4245-9F8D-A612BAAAD3EA}"/>
    <cellStyle name="20% - Accent3" xfId="29" builtinId="38" customBuiltin="1"/>
    <cellStyle name="20% - Accent3 10" xfId="449" xr:uid="{00000000-0005-0000-0000-00007F000000}"/>
    <cellStyle name="20% - Accent3 10 2" xfId="1275" xr:uid="{9DE147DA-EE38-45DC-B486-0D200CC3A0FC}"/>
    <cellStyle name="20% - Accent3 10 3" xfId="1690" xr:uid="{D24B3923-9C57-40B8-A391-28BB81D643CE}"/>
    <cellStyle name="20% - Accent3 10 4" xfId="2103" xr:uid="{19DEAA5D-CB8D-4EAE-8EE9-F2ECB3559DCD}"/>
    <cellStyle name="20% - Accent3 10 5" xfId="2927" xr:uid="{D723A00B-09B9-4A3C-8B6D-893E4197B9EE}"/>
    <cellStyle name="20% - Accent3 10 6" xfId="3751" xr:uid="{4FBF1938-816E-4112-B117-0537FFFD407B}"/>
    <cellStyle name="20% - Accent3 11" xfId="462" xr:uid="{00000000-0005-0000-0000-000080000000}"/>
    <cellStyle name="20% - Accent3 11 2" xfId="1288" xr:uid="{C10D1ADE-7657-4DE0-A799-09988F31EBF4}"/>
    <cellStyle name="20% - Accent3 11 3" xfId="2116" xr:uid="{07E0AB7A-A23F-4F1B-9D94-F41BCE37B100}"/>
    <cellStyle name="20% - Accent3 11 4" xfId="2940" xr:uid="{13876120-57D0-4E3D-9F84-88FE0F7355C1}"/>
    <cellStyle name="20% - Accent3 11 5" xfId="3764" xr:uid="{11BF09D4-8D06-4AEF-880A-FB9E2258391F}"/>
    <cellStyle name="20% - Accent3 12" xfId="867" xr:uid="{41071E0F-FE54-4BC6-A8B7-0145CC4979B0}"/>
    <cellStyle name="20% - Accent3 13" xfId="1696" xr:uid="{1D62E394-9E39-4910-BFC4-2D5729B26649}"/>
    <cellStyle name="20% - Accent3 14" xfId="2520" xr:uid="{390ABDAF-C783-467B-B57A-22DF8C7FAE7C}"/>
    <cellStyle name="20% - Accent3 15" xfId="3344" xr:uid="{A73422DA-C036-4A0B-AF8F-8F6E952F6F30}"/>
    <cellStyle name="20% - Accent3 2" xfId="56" xr:uid="{00000000-0005-0000-0000-000081000000}"/>
    <cellStyle name="20% - Accent3 2 2" xfId="109" xr:uid="{00000000-0005-0000-0000-000082000000}"/>
    <cellStyle name="20% - Accent3 2 2 2" xfId="214" xr:uid="{00000000-0005-0000-0000-000083000000}"/>
    <cellStyle name="20% - Accent3 2 2 2 2" xfId="423" xr:uid="{00000000-0005-0000-0000-000084000000}"/>
    <cellStyle name="20% - Accent3 2 2 2 2 2" xfId="840" xr:uid="{00000000-0005-0000-0000-000085000000}"/>
    <cellStyle name="20% - Accent3 2 2 2 2 2 2" xfId="1666" xr:uid="{3D47A3E4-A3C6-4FA2-B391-D1F071E33FA2}"/>
    <cellStyle name="20% - Accent3 2 2 2 2 2 3" xfId="2494" xr:uid="{C0CF06DA-1CA8-4253-A564-0EF90BC64A23}"/>
    <cellStyle name="20% - Accent3 2 2 2 2 2 4" xfId="3318" xr:uid="{48B3E8C6-E99F-4940-9285-22F93045845B}"/>
    <cellStyle name="20% - Accent3 2 2 2 2 2 5" xfId="4142" xr:uid="{FAB6FCBD-5186-4982-A1CC-041F171A7BF2}"/>
    <cellStyle name="20% - Accent3 2 2 2 2 3" xfId="1249" xr:uid="{8BC6BDC1-8383-48CA-9B82-6D08DB69C805}"/>
    <cellStyle name="20% - Accent3 2 2 2 2 4" xfId="2077" xr:uid="{57CB9C49-ACA7-461D-8B95-889C523D30C6}"/>
    <cellStyle name="20% - Accent3 2 2 2 2 5" xfId="2901" xr:uid="{21EF3D70-1636-4934-B98F-1BCFB52E80DB}"/>
    <cellStyle name="20% - Accent3 2 2 2 2 6" xfId="3725" xr:uid="{D797A6AD-CDF1-4069-BDCA-7B8BC3B3A003}"/>
    <cellStyle name="20% - Accent3 2 2 2 3" xfId="632" xr:uid="{00000000-0005-0000-0000-000086000000}"/>
    <cellStyle name="20% - Accent3 2 2 2 3 2" xfId="1458" xr:uid="{31135527-AAC5-4E45-801B-76FE6128C6D2}"/>
    <cellStyle name="20% - Accent3 2 2 2 3 3" xfId="2286" xr:uid="{602565B5-9265-4F8E-8A7B-0951097A5759}"/>
    <cellStyle name="20% - Accent3 2 2 2 3 4" xfId="3110" xr:uid="{25608D1A-85EC-4A21-8D4C-D73B047C3768}"/>
    <cellStyle name="20% - Accent3 2 2 2 3 5" xfId="3934" xr:uid="{3B413FFF-A001-49AF-AB91-E6D8BBBD1893}"/>
    <cellStyle name="20% - Accent3 2 2 2 4" xfId="1040" xr:uid="{582828BF-0B02-4448-8037-02F5B0D83E69}"/>
    <cellStyle name="20% - Accent3 2 2 2 5" xfId="1868" xr:uid="{46175703-9B44-4959-8B4F-8B9AC4BEB3D9}"/>
    <cellStyle name="20% - Accent3 2 2 2 6" xfId="2692" xr:uid="{9F723345-483A-4213-B1A6-C037E8BABF20}"/>
    <cellStyle name="20% - Accent3 2 2 2 7" xfId="3516" xr:uid="{ED5D149E-B763-4D34-A2A5-C7FBD0EB5FE6}"/>
    <cellStyle name="20% - Accent3 2 2 3" xfId="319" xr:uid="{00000000-0005-0000-0000-000087000000}"/>
    <cellStyle name="20% - Accent3 2 2 3 2" xfId="736" xr:uid="{00000000-0005-0000-0000-000088000000}"/>
    <cellStyle name="20% - Accent3 2 2 3 2 2" xfId="1562" xr:uid="{E2BE00D1-9D40-438E-A2C1-56B9880CE7BF}"/>
    <cellStyle name="20% - Accent3 2 2 3 2 3" xfId="2390" xr:uid="{6C2B2257-A935-4898-9442-C7A57643A18C}"/>
    <cellStyle name="20% - Accent3 2 2 3 2 4" xfId="3214" xr:uid="{3BA31B1D-6EB4-4912-AE78-AD101C83B239}"/>
    <cellStyle name="20% - Accent3 2 2 3 2 5" xfId="4038" xr:uid="{E769C813-60D0-4CB2-BE42-757FDE769637}"/>
    <cellStyle name="20% - Accent3 2 2 3 3" xfId="1145" xr:uid="{A2AFFBFB-6C92-47CB-8253-B05C2B52CB2C}"/>
    <cellStyle name="20% - Accent3 2 2 3 4" xfId="1973" xr:uid="{05CC58E9-1183-42EB-BB09-B1C585A02C83}"/>
    <cellStyle name="20% - Accent3 2 2 3 5" xfId="2797" xr:uid="{1E76C8A3-424D-4555-A8EE-4B651A4A2E1C}"/>
    <cellStyle name="20% - Accent3 2 2 3 6" xfId="3621" xr:uid="{D1F160CE-6CF1-4BD6-8FED-2B91DA19FE10}"/>
    <cellStyle name="20% - Accent3 2 2 4" xfId="528" xr:uid="{00000000-0005-0000-0000-000089000000}"/>
    <cellStyle name="20% - Accent3 2 2 4 2" xfId="1354" xr:uid="{D1DE3456-2F6F-4D11-AA67-622D3F8BE829}"/>
    <cellStyle name="20% - Accent3 2 2 4 3" xfId="2182" xr:uid="{1647C56D-4F34-443B-8468-03B265B662E9}"/>
    <cellStyle name="20% - Accent3 2 2 4 4" xfId="3006" xr:uid="{1023A94F-37CD-485B-9823-36301A099E73}"/>
    <cellStyle name="20% - Accent3 2 2 4 5" xfId="3830" xr:uid="{5CA239C1-D75F-4630-8AAB-9E9854434DA3}"/>
    <cellStyle name="20% - Accent3 2 2 5" xfId="935" xr:uid="{CB268598-0AB7-4E5D-93C0-0F09D2C3A119}"/>
    <cellStyle name="20% - Accent3 2 2 6" xfId="1763" xr:uid="{20903E11-5143-4A51-8BA8-4F0DA8CED7B3}"/>
    <cellStyle name="20% - Accent3 2 2 7" xfId="2587" xr:uid="{57E89358-29C9-4287-B2EA-41BC69856D49}"/>
    <cellStyle name="20% - Accent3 2 2 8" xfId="3411" xr:uid="{923B8647-2355-475F-B8BF-E8236485F15D}"/>
    <cellStyle name="20% - Accent3 2 3" xfId="162" xr:uid="{00000000-0005-0000-0000-00008A000000}"/>
    <cellStyle name="20% - Accent3 2 3 2" xfId="371" xr:uid="{00000000-0005-0000-0000-00008B000000}"/>
    <cellStyle name="20% - Accent3 2 3 2 2" xfId="788" xr:uid="{00000000-0005-0000-0000-00008C000000}"/>
    <cellStyle name="20% - Accent3 2 3 2 2 2" xfId="1614" xr:uid="{53C46401-B7A4-4968-9784-302AF6B134D0}"/>
    <cellStyle name="20% - Accent3 2 3 2 2 3" xfId="2442" xr:uid="{0B13151D-4396-410F-8A78-41D15935A5D4}"/>
    <cellStyle name="20% - Accent3 2 3 2 2 4" xfId="3266" xr:uid="{DFD791B7-EEEF-47A3-9EAC-646D70EC4F1F}"/>
    <cellStyle name="20% - Accent3 2 3 2 2 5" xfId="4090" xr:uid="{431B2C8D-9599-4DE6-8932-42FBDEB75285}"/>
    <cellStyle name="20% - Accent3 2 3 2 3" xfId="1197" xr:uid="{F9DAAC1C-FFC5-4730-9370-74B4D319D06A}"/>
    <cellStyle name="20% - Accent3 2 3 2 4" xfId="2025" xr:uid="{15B3BB56-A00C-475F-9216-2F8EF92DC99B}"/>
    <cellStyle name="20% - Accent3 2 3 2 5" xfId="2849" xr:uid="{1B4EF6A1-4151-413F-8EA0-EA88A75E87D7}"/>
    <cellStyle name="20% - Accent3 2 3 2 6" xfId="3673" xr:uid="{578194DF-8284-4813-9125-3A15EB5D5E9B}"/>
    <cellStyle name="20% - Accent3 2 3 3" xfId="580" xr:uid="{00000000-0005-0000-0000-00008D000000}"/>
    <cellStyle name="20% - Accent3 2 3 3 2" xfId="1406" xr:uid="{40F29F0D-5D15-4BCB-AF44-8D4730B5DC16}"/>
    <cellStyle name="20% - Accent3 2 3 3 3" xfId="2234" xr:uid="{750BE211-64BF-4DAD-912A-EC4E22FCD906}"/>
    <cellStyle name="20% - Accent3 2 3 3 4" xfId="3058" xr:uid="{4B511A72-C982-4504-9680-F72D86BAA17B}"/>
    <cellStyle name="20% - Accent3 2 3 3 5" xfId="3882" xr:uid="{9B3C19B2-A5C3-4775-846E-2DDA6049785D}"/>
    <cellStyle name="20% - Accent3 2 3 4" xfId="988" xr:uid="{14CCBBD0-6DA5-490E-8B75-2B178FC44E44}"/>
    <cellStyle name="20% - Accent3 2 3 5" xfId="1816" xr:uid="{AF9B925F-5423-448B-9C20-2AFC68B7A62D}"/>
    <cellStyle name="20% - Accent3 2 3 6" xfId="2640" xr:uid="{9B3F5F9B-FC12-4FE1-9446-E9ED1698BF40}"/>
    <cellStyle name="20% - Accent3 2 3 7" xfId="3464" xr:uid="{353C8C48-2320-4150-84F6-C6546A45B69A}"/>
    <cellStyle name="20% - Accent3 2 4" xfId="267" xr:uid="{00000000-0005-0000-0000-00008E000000}"/>
    <cellStyle name="20% - Accent3 2 4 2" xfId="684" xr:uid="{00000000-0005-0000-0000-00008F000000}"/>
    <cellStyle name="20% - Accent3 2 4 2 2" xfId="1510" xr:uid="{0F828AD5-C8D8-477E-8F09-49C7EC79ED59}"/>
    <cellStyle name="20% - Accent3 2 4 2 3" xfId="2338" xr:uid="{C66ED9BB-AFB6-4774-BA97-D6C5EAAFF684}"/>
    <cellStyle name="20% - Accent3 2 4 2 4" xfId="3162" xr:uid="{58CEE187-C579-4052-AD90-55CB8144F772}"/>
    <cellStyle name="20% - Accent3 2 4 2 5" xfId="3986" xr:uid="{41FE0FDA-1004-4B82-B087-1CAA12A63300}"/>
    <cellStyle name="20% - Accent3 2 4 3" xfId="1093" xr:uid="{64D45BB5-3D79-44D3-A166-340FBA0BBA1A}"/>
    <cellStyle name="20% - Accent3 2 4 4" xfId="1921" xr:uid="{97BC4898-23E3-459E-8128-643BB328A310}"/>
    <cellStyle name="20% - Accent3 2 4 5" xfId="2745" xr:uid="{0CCA9F3F-9C01-40A7-878E-17C99878F268}"/>
    <cellStyle name="20% - Accent3 2 4 6" xfId="3569" xr:uid="{C400CA05-0F3F-4125-9694-9C6DF79D76FF}"/>
    <cellStyle name="20% - Accent3 2 5" xfId="476" xr:uid="{00000000-0005-0000-0000-000090000000}"/>
    <cellStyle name="20% - Accent3 2 5 2" xfId="1302" xr:uid="{1C3615A3-C31E-4248-A7FA-6555AFA65CB1}"/>
    <cellStyle name="20% - Accent3 2 5 3" xfId="2130" xr:uid="{F4A7FF2F-3D93-4FB4-B1C1-89E680E95A11}"/>
    <cellStyle name="20% - Accent3 2 5 4" xfId="2954" xr:uid="{0CA918A7-E0AA-495B-A551-EDCFF328A878}"/>
    <cellStyle name="20% - Accent3 2 5 5" xfId="3778" xr:uid="{A4CECBEF-92BA-4EA5-AE8A-890C4EC850B7}"/>
    <cellStyle name="20% - Accent3 2 6" xfId="882" xr:uid="{71249369-DF12-446C-BFCB-870313DF8779}"/>
    <cellStyle name="20% - Accent3 2 7" xfId="1710" xr:uid="{4CA769EC-0F89-4AEE-9078-F840CD8ABE9C}"/>
    <cellStyle name="20% - Accent3 2 8" xfId="2534" xr:uid="{B69DC47C-D3D7-4E2A-8E4A-816CC94AC3BE}"/>
    <cellStyle name="20% - Accent3 2 9" xfId="3358" xr:uid="{8DC61BEA-CF3F-4CB9-94DB-85C3FE3E014E}"/>
    <cellStyle name="20% - Accent3 3" xfId="69" xr:uid="{00000000-0005-0000-0000-000091000000}"/>
    <cellStyle name="20% - Accent3 3 2" xfId="122" xr:uid="{00000000-0005-0000-0000-000092000000}"/>
    <cellStyle name="20% - Accent3 3 2 2" xfId="227" xr:uid="{00000000-0005-0000-0000-000093000000}"/>
    <cellStyle name="20% - Accent3 3 2 2 2" xfId="436" xr:uid="{00000000-0005-0000-0000-000094000000}"/>
    <cellStyle name="20% - Accent3 3 2 2 2 2" xfId="853" xr:uid="{00000000-0005-0000-0000-000095000000}"/>
    <cellStyle name="20% - Accent3 3 2 2 2 2 2" xfId="1679" xr:uid="{BD6D1917-5541-4F9F-8DA8-FD0E2F6D2AA4}"/>
    <cellStyle name="20% - Accent3 3 2 2 2 2 3" xfId="2507" xr:uid="{AB677FC4-50D5-4342-85E1-BDE631370FF6}"/>
    <cellStyle name="20% - Accent3 3 2 2 2 2 4" xfId="3331" xr:uid="{DA76A95D-1CF5-4A44-8B51-067E602A78C8}"/>
    <cellStyle name="20% - Accent3 3 2 2 2 2 5" xfId="4155" xr:uid="{4F18BF32-D024-4B7F-8DC6-B520BE023C20}"/>
    <cellStyle name="20% - Accent3 3 2 2 2 3" xfId="1262" xr:uid="{BF4CA54F-FC04-4EB3-8288-12004C726810}"/>
    <cellStyle name="20% - Accent3 3 2 2 2 4" xfId="2090" xr:uid="{9D747EAB-55CE-4C0A-8C6D-EF1106F2EFE5}"/>
    <cellStyle name="20% - Accent3 3 2 2 2 5" xfId="2914" xr:uid="{A8EEEAFE-94AE-4384-9FF2-39D281033447}"/>
    <cellStyle name="20% - Accent3 3 2 2 2 6" xfId="3738" xr:uid="{3E01A0AF-B2A0-4B30-8056-83A2CF94083B}"/>
    <cellStyle name="20% - Accent3 3 2 2 3" xfId="645" xr:uid="{00000000-0005-0000-0000-000096000000}"/>
    <cellStyle name="20% - Accent3 3 2 2 3 2" xfId="1471" xr:uid="{37F26D73-8B92-4245-9E6C-5710FD84CC04}"/>
    <cellStyle name="20% - Accent3 3 2 2 3 3" xfId="2299" xr:uid="{72DF28D2-3116-4CA6-81F0-E46C74A5B6FE}"/>
    <cellStyle name="20% - Accent3 3 2 2 3 4" xfId="3123" xr:uid="{7C492243-3F73-483C-AE66-2FBE8A780D96}"/>
    <cellStyle name="20% - Accent3 3 2 2 3 5" xfId="3947" xr:uid="{7770BEC1-3E4A-40C0-BD57-42A2D133F58D}"/>
    <cellStyle name="20% - Accent3 3 2 2 4" xfId="1053" xr:uid="{0D81EEF1-1C95-4C39-9725-D2281BCED607}"/>
    <cellStyle name="20% - Accent3 3 2 2 5" xfId="1881" xr:uid="{C7850491-7EA9-4EB8-9015-EE2A03CCFC42}"/>
    <cellStyle name="20% - Accent3 3 2 2 6" xfId="2705" xr:uid="{4C82988E-25F6-43F2-8441-A26530472908}"/>
    <cellStyle name="20% - Accent3 3 2 2 7" xfId="3529" xr:uid="{FC956922-C9D8-497A-8CA9-F28608018545}"/>
    <cellStyle name="20% - Accent3 3 2 3" xfId="332" xr:uid="{00000000-0005-0000-0000-000097000000}"/>
    <cellStyle name="20% - Accent3 3 2 3 2" xfId="749" xr:uid="{00000000-0005-0000-0000-000098000000}"/>
    <cellStyle name="20% - Accent3 3 2 3 2 2" xfId="1575" xr:uid="{222DC539-5E61-49AD-8B82-3467F740F477}"/>
    <cellStyle name="20% - Accent3 3 2 3 2 3" xfId="2403" xr:uid="{AC9BBCBB-AC45-4830-9261-28E423A37E69}"/>
    <cellStyle name="20% - Accent3 3 2 3 2 4" xfId="3227" xr:uid="{18F27C58-6D34-43AE-88A9-148470BB263A}"/>
    <cellStyle name="20% - Accent3 3 2 3 2 5" xfId="4051" xr:uid="{15951598-9621-408E-B84C-617E931AE08D}"/>
    <cellStyle name="20% - Accent3 3 2 3 3" xfId="1158" xr:uid="{34EC05B1-36F8-4E64-8D06-3846231D8E68}"/>
    <cellStyle name="20% - Accent3 3 2 3 4" xfId="1986" xr:uid="{94B70586-C016-449D-AEA8-25411005C5D3}"/>
    <cellStyle name="20% - Accent3 3 2 3 5" xfId="2810" xr:uid="{B377CADC-9DBA-40E6-A9F7-FBC876145C5A}"/>
    <cellStyle name="20% - Accent3 3 2 3 6" xfId="3634" xr:uid="{557FDEAD-581E-4DC4-9F33-88FD2D642D03}"/>
    <cellStyle name="20% - Accent3 3 2 4" xfId="541" xr:uid="{00000000-0005-0000-0000-000099000000}"/>
    <cellStyle name="20% - Accent3 3 2 4 2" xfId="1367" xr:uid="{4D1A23DB-BCA5-491D-BBDE-6B99860DAE13}"/>
    <cellStyle name="20% - Accent3 3 2 4 3" xfId="2195" xr:uid="{6065C4E5-0771-41FF-8982-FCD18417F6C9}"/>
    <cellStyle name="20% - Accent3 3 2 4 4" xfId="3019" xr:uid="{0C4B72B6-9E0B-4169-A727-6D17138CA648}"/>
    <cellStyle name="20% - Accent3 3 2 4 5" xfId="3843" xr:uid="{7D0AB324-AF43-4D59-914D-001342F3D737}"/>
    <cellStyle name="20% - Accent3 3 2 5" xfId="948" xr:uid="{6C73BAAA-8AEF-4688-8B1F-F05DD49F6EE5}"/>
    <cellStyle name="20% - Accent3 3 2 6" xfId="1776" xr:uid="{DDADFC9B-854C-4931-841F-1D9DD930191C}"/>
    <cellStyle name="20% - Accent3 3 2 7" xfId="2600" xr:uid="{986DC1FA-43F6-465B-8D7F-529ED28BFBC8}"/>
    <cellStyle name="20% - Accent3 3 2 8" xfId="3424" xr:uid="{51FB1C26-3A30-447A-A577-33394D4CFEF7}"/>
    <cellStyle name="20% - Accent3 3 3" xfId="175" xr:uid="{00000000-0005-0000-0000-00009A000000}"/>
    <cellStyle name="20% - Accent3 3 3 2" xfId="384" xr:uid="{00000000-0005-0000-0000-00009B000000}"/>
    <cellStyle name="20% - Accent3 3 3 2 2" xfId="801" xr:uid="{00000000-0005-0000-0000-00009C000000}"/>
    <cellStyle name="20% - Accent3 3 3 2 2 2" xfId="1627" xr:uid="{E823898E-9591-432D-B722-E43EDB294D9B}"/>
    <cellStyle name="20% - Accent3 3 3 2 2 3" xfId="2455" xr:uid="{FC3AA6F2-14CE-46CE-B652-0AFDFE01453B}"/>
    <cellStyle name="20% - Accent3 3 3 2 2 4" xfId="3279" xr:uid="{61B647BD-E16C-42DD-BC31-9E63DEFB83BD}"/>
    <cellStyle name="20% - Accent3 3 3 2 2 5" xfId="4103" xr:uid="{9DD295C3-E5F3-4C72-ABF3-B5950EEA8307}"/>
    <cellStyle name="20% - Accent3 3 3 2 3" xfId="1210" xr:uid="{74D37B7C-141E-49CC-9318-7B45F27ABF3E}"/>
    <cellStyle name="20% - Accent3 3 3 2 4" xfId="2038" xr:uid="{A38C7668-49A1-4908-9714-332A35C1E90A}"/>
    <cellStyle name="20% - Accent3 3 3 2 5" xfId="2862" xr:uid="{1857ED03-144C-49E0-BBD4-DF9FCFF22955}"/>
    <cellStyle name="20% - Accent3 3 3 2 6" xfId="3686" xr:uid="{E26E4331-3EB2-4AAB-93EE-BB8003F7823C}"/>
    <cellStyle name="20% - Accent3 3 3 3" xfId="593" xr:uid="{00000000-0005-0000-0000-00009D000000}"/>
    <cellStyle name="20% - Accent3 3 3 3 2" xfId="1419" xr:uid="{73515A84-47DA-418D-BCBA-BA8919A8AB8C}"/>
    <cellStyle name="20% - Accent3 3 3 3 3" xfId="2247" xr:uid="{B10CA0A9-0B6E-469B-83DF-F689E198C67B}"/>
    <cellStyle name="20% - Accent3 3 3 3 4" xfId="3071" xr:uid="{F516BE8A-320B-418E-9BAF-61C2216EB2E5}"/>
    <cellStyle name="20% - Accent3 3 3 3 5" xfId="3895" xr:uid="{A10B2B0A-04D5-49AA-B801-7A598646738B}"/>
    <cellStyle name="20% - Accent3 3 3 4" xfId="1001" xr:uid="{D607464C-C70A-4A93-B577-3AEE7C786730}"/>
    <cellStyle name="20% - Accent3 3 3 5" xfId="1829" xr:uid="{87CBB9B1-4856-44EB-BF26-7B7E7DA0D1D5}"/>
    <cellStyle name="20% - Accent3 3 3 6" xfId="2653" xr:uid="{641001BE-6B93-4B2F-84A0-ECB2E2081997}"/>
    <cellStyle name="20% - Accent3 3 3 7" xfId="3477" xr:uid="{76C6879D-F2D4-4532-8B33-5EA300876526}"/>
    <cellStyle name="20% - Accent3 3 4" xfId="280" xr:uid="{00000000-0005-0000-0000-00009E000000}"/>
    <cellStyle name="20% - Accent3 3 4 2" xfId="697" xr:uid="{00000000-0005-0000-0000-00009F000000}"/>
    <cellStyle name="20% - Accent3 3 4 2 2" xfId="1523" xr:uid="{08F81474-E81E-4760-9CC5-858FE9352542}"/>
    <cellStyle name="20% - Accent3 3 4 2 3" xfId="2351" xr:uid="{7A72A2FC-AFEB-49B8-9ABA-3FB27459DBFE}"/>
    <cellStyle name="20% - Accent3 3 4 2 4" xfId="3175" xr:uid="{E7CD4A0A-F8CA-4066-BAFF-46554B7AF266}"/>
    <cellStyle name="20% - Accent3 3 4 2 5" xfId="3999" xr:uid="{69CAA5E4-5D88-4162-BAEB-3A69C19D92C6}"/>
    <cellStyle name="20% - Accent3 3 4 3" xfId="1106" xr:uid="{EB902901-2D82-4406-B6EB-F56A0F4C3E85}"/>
    <cellStyle name="20% - Accent3 3 4 4" xfId="1934" xr:uid="{C6BE79E3-FADB-4243-A5A9-CC41537CA44E}"/>
    <cellStyle name="20% - Accent3 3 4 5" xfId="2758" xr:uid="{522D015D-0A3B-401A-BE71-6FE01B718732}"/>
    <cellStyle name="20% - Accent3 3 4 6" xfId="3582" xr:uid="{E55B1C05-3D17-4221-A28C-B7949CA2A71A}"/>
    <cellStyle name="20% - Accent3 3 5" xfId="489" xr:uid="{00000000-0005-0000-0000-0000A0000000}"/>
    <cellStyle name="20% - Accent3 3 5 2" xfId="1315" xr:uid="{415B8B57-07F1-46EF-B377-1C13E032388A}"/>
    <cellStyle name="20% - Accent3 3 5 3" xfId="2143" xr:uid="{37F62CDB-38F9-4418-ACA8-48BC72086D53}"/>
    <cellStyle name="20% - Accent3 3 5 4" xfId="2967" xr:uid="{445E71B2-E657-4C05-AAF3-B2560CBEF5E6}"/>
    <cellStyle name="20% - Accent3 3 5 5" xfId="3791" xr:uid="{F0C1B3E7-5071-4726-88DA-FC2898E7DAAB}"/>
    <cellStyle name="20% - Accent3 3 6" xfId="895" xr:uid="{016A0F80-1DF8-48D6-8BBF-C2F3EAF7A19F}"/>
    <cellStyle name="20% - Accent3 3 7" xfId="1723" xr:uid="{B339EC12-9039-4C75-9B57-493890F90587}"/>
    <cellStyle name="20% - Accent3 3 8" xfId="2547" xr:uid="{4C8FBED9-AFC4-4867-83FE-C747DE92B45E}"/>
    <cellStyle name="20% - Accent3 3 9" xfId="3371" xr:uid="{CA900156-7F02-4E57-8ED7-3ADDFA404139}"/>
    <cellStyle name="20% - Accent3 4" xfId="82" xr:uid="{00000000-0005-0000-0000-0000A1000000}"/>
    <cellStyle name="20% - Accent3 4 2" xfId="188" xr:uid="{00000000-0005-0000-0000-0000A2000000}"/>
    <cellStyle name="20% - Accent3 4 2 2" xfId="397" xr:uid="{00000000-0005-0000-0000-0000A3000000}"/>
    <cellStyle name="20% - Accent3 4 2 2 2" xfId="814" xr:uid="{00000000-0005-0000-0000-0000A4000000}"/>
    <cellStyle name="20% - Accent3 4 2 2 2 2" xfId="1640" xr:uid="{36914A6E-0E9A-46DE-9EDC-1C218BEA2DCB}"/>
    <cellStyle name="20% - Accent3 4 2 2 2 3" xfId="2468" xr:uid="{2B1389B1-C3DC-489D-A6BB-632AA7BB884D}"/>
    <cellStyle name="20% - Accent3 4 2 2 2 4" xfId="3292" xr:uid="{C7B3BBBF-634A-4D75-9633-96C24A051761}"/>
    <cellStyle name="20% - Accent3 4 2 2 2 5" xfId="4116" xr:uid="{483D7928-6C77-4304-8995-A6B0A71710CE}"/>
    <cellStyle name="20% - Accent3 4 2 2 3" xfId="1223" xr:uid="{1670D932-4A02-490A-B48D-1F2B66AC82FC}"/>
    <cellStyle name="20% - Accent3 4 2 2 4" xfId="2051" xr:uid="{46DF2C24-73C7-4952-BA2C-698AB476EB48}"/>
    <cellStyle name="20% - Accent3 4 2 2 5" xfId="2875" xr:uid="{DC67383F-D61D-4D18-843D-79B0A1D35161}"/>
    <cellStyle name="20% - Accent3 4 2 2 6" xfId="3699" xr:uid="{93CC182A-29F4-4ECA-AE9C-67614F8B5E0B}"/>
    <cellStyle name="20% - Accent3 4 2 3" xfId="606" xr:uid="{00000000-0005-0000-0000-0000A5000000}"/>
    <cellStyle name="20% - Accent3 4 2 3 2" xfId="1432" xr:uid="{E6021DBF-11B5-48E6-A2E4-0B15AA15E948}"/>
    <cellStyle name="20% - Accent3 4 2 3 3" xfId="2260" xr:uid="{A0FA3E30-2FF4-4361-90B2-5B80D922996F}"/>
    <cellStyle name="20% - Accent3 4 2 3 4" xfId="3084" xr:uid="{A3AB6CA9-91E5-4F80-904A-A1680530F215}"/>
    <cellStyle name="20% - Accent3 4 2 3 5" xfId="3908" xr:uid="{92CE8A48-5FAC-4BBD-87D8-193F5920F9BA}"/>
    <cellStyle name="20% - Accent3 4 2 4" xfId="1014" xr:uid="{CD5E57E0-9F4C-459E-B1BD-9599857322D1}"/>
    <cellStyle name="20% - Accent3 4 2 5" xfId="1842" xr:uid="{1D4BA3F7-E11F-461A-96CD-30E27CDFB992}"/>
    <cellStyle name="20% - Accent3 4 2 6" xfId="2666" xr:uid="{5A85A302-21FF-4F7B-8074-B7DED8FF561B}"/>
    <cellStyle name="20% - Accent3 4 2 7" xfId="3490" xr:uid="{75CEA541-562B-46E7-945E-1D0DD51E3EBF}"/>
    <cellStyle name="20% - Accent3 4 3" xfId="293" xr:uid="{00000000-0005-0000-0000-0000A6000000}"/>
    <cellStyle name="20% - Accent3 4 3 2" xfId="710" xr:uid="{00000000-0005-0000-0000-0000A7000000}"/>
    <cellStyle name="20% - Accent3 4 3 2 2" xfId="1536" xr:uid="{98759298-F296-4179-8500-A6338B4EC3ED}"/>
    <cellStyle name="20% - Accent3 4 3 2 3" xfId="2364" xr:uid="{C5E8B60B-8A63-4D5F-8E81-66C02EAD6C71}"/>
    <cellStyle name="20% - Accent3 4 3 2 4" xfId="3188" xr:uid="{D6DD2A40-DD77-47BD-8963-07B17D61FB62}"/>
    <cellStyle name="20% - Accent3 4 3 2 5" xfId="4012" xr:uid="{0963722D-7BA0-4CA3-AD1A-85611715A4F9}"/>
    <cellStyle name="20% - Accent3 4 3 3" xfId="1119" xr:uid="{B5530966-8A3F-4D9F-B028-FA8D4A4F0F88}"/>
    <cellStyle name="20% - Accent3 4 3 4" xfId="1947" xr:uid="{55A84DD8-E31B-44CC-BFFF-232ADC60E95F}"/>
    <cellStyle name="20% - Accent3 4 3 5" xfId="2771" xr:uid="{D68106C5-8E7D-4701-9557-98E3FC5AB928}"/>
    <cellStyle name="20% - Accent3 4 3 6" xfId="3595" xr:uid="{0AED7F21-3435-441E-9147-45905AAA49E6}"/>
    <cellStyle name="20% - Accent3 4 4" xfId="502" xr:uid="{00000000-0005-0000-0000-0000A8000000}"/>
    <cellStyle name="20% - Accent3 4 4 2" xfId="1328" xr:uid="{A45F6818-C3C6-49B8-9077-3ABD74F98D30}"/>
    <cellStyle name="20% - Accent3 4 4 3" xfId="2156" xr:uid="{0CDB76E8-AB7D-49AB-8FA3-3410A4D7F62C}"/>
    <cellStyle name="20% - Accent3 4 4 4" xfId="2980" xr:uid="{30B3CEB8-AD18-405D-8550-68A071633E35}"/>
    <cellStyle name="20% - Accent3 4 4 5" xfId="3804" xr:uid="{07DADA95-3203-40E5-B4EB-6AEE38D393B8}"/>
    <cellStyle name="20% - Accent3 4 5" xfId="908" xr:uid="{E93C9163-ADAD-4874-8AEA-C258BAE1404D}"/>
    <cellStyle name="20% - Accent3 4 6" xfId="1736" xr:uid="{311A94B3-C153-4D29-B6FB-CA85A275272D}"/>
    <cellStyle name="20% - Accent3 4 7" xfId="2560" xr:uid="{4BEE2893-6A93-424A-B6B6-AE1AB5E4B345}"/>
    <cellStyle name="20% - Accent3 4 8" xfId="3384" xr:uid="{E06BE8A7-CD64-45AE-9840-CA10F5D12816}"/>
    <cellStyle name="20% - Accent3 5" xfId="95" xr:uid="{00000000-0005-0000-0000-0000A9000000}"/>
    <cellStyle name="20% - Accent3 5 2" xfId="200" xr:uid="{00000000-0005-0000-0000-0000AA000000}"/>
    <cellStyle name="20% - Accent3 5 2 2" xfId="409" xr:uid="{00000000-0005-0000-0000-0000AB000000}"/>
    <cellStyle name="20% - Accent3 5 2 2 2" xfId="826" xr:uid="{00000000-0005-0000-0000-0000AC000000}"/>
    <cellStyle name="20% - Accent3 5 2 2 2 2" xfId="1652" xr:uid="{A20512C4-4094-4211-8B16-7E59D38B77F7}"/>
    <cellStyle name="20% - Accent3 5 2 2 2 3" xfId="2480" xr:uid="{EB78F87E-0925-437B-A6C1-CA421CEC65E1}"/>
    <cellStyle name="20% - Accent3 5 2 2 2 4" xfId="3304" xr:uid="{F6A20FAE-8CFD-4436-A83F-5FE017072969}"/>
    <cellStyle name="20% - Accent3 5 2 2 2 5" xfId="4128" xr:uid="{2B08B958-43FF-4625-A8A6-517CE7E22AB3}"/>
    <cellStyle name="20% - Accent3 5 2 2 3" xfId="1235" xr:uid="{FCAC7E36-F402-4184-8ABD-D3008C90177E}"/>
    <cellStyle name="20% - Accent3 5 2 2 4" xfId="2063" xr:uid="{DA18E112-09B6-430B-9E00-9E493BFFA8C9}"/>
    <cellStyle name="20% - Accent3 5 2 2 5" xfId="2887" xr:uid="{C4EEA510-BF55-4E90-B187-A116FFEBCA5D}"/>
    <cellStyle name="20% - Accent3 5 2 2 6" xfId="3711" xr:uid="{8DF3B0D7-FCA7-40DF-B6EC-FE60ED1551B7}"/>
    <cellStyle name="20% - Accent3 5 2 3" xfId="618" xr:uid="{00000000-0005-0000-0000-0000AD000000}"/>
    <cellStyle name="20% - Accent3 5 2 3 2" xfId="1444" xr:uid="{25FCF22F-1D60-481F-B88E-5AE61ABAEF2E}"/>
    <cellStyle name="20% - Accent3 5 2 3 3" xfId="2272" xr:uid="{1F0CCD4B-74FF-4F52-A555-5726A95F6715}"/>
    <cellStyle name="20% - Accent3 5 2 3 4" xfId="3096" xr:uid="{DA762AEF-8849-4C4F-A7D9-50745A7CF4F7}"/>
    <cellStyle name="20% - Accent3 5 2 3 5" xfId="3920" xr:uid="{107B36C4-6843-4C5D-A01F-FD32D54F0BAD}"/>
    <cellStyle name="20% - Accent3 5 2 4" xfId="1026" xr:uid="{45DAFD39-7157-491D-8895-58462B63A506}"/>
    <cellStyle name="20% - Accent3 5 2 5" xfId="1854" xr:uid="{CB6165E0-8F5F-44CF-8796-0A224EA74BBE}"/>
    <cellStyle name="20% - Accent3 5 2 6" xfId="2678" xr:uid="{785265E7-5705-46DA-BB77-75CBDDEE84D1}"/>
    <cellStyle name="20% - Accent3 5 2 7" xfId="3502" xr:uid="{75579FDA-CC16-4AC2-B92B-97DE62108B06}"/>
    <cellStyle name="20% - Accent3 5 3" xfId="305" xr:uid="{00000000-0005-0000-0000-0000AE000000}"/>
    <cellStyle name="20% - Accent3 5 3 2" xfId="722" xr:uid="{00000000-0005-0000-0000-0000AF000000}"/>
    <cellStyle name="20% - Accent3 5 3 2 2" xfId="1548" xr:uid="{0187C723-1C76-4CFD-AEA6-5EF31BF48829}"/>
    <cellStyle name="20% - Accent3 5 3 2 3" xfId="2376" xr:uid="{8D4BB268-7254-47F9-8B0B-EF994B144F00}"/>
    <cellStyle name="20% - Accent3 5 3 2 4" xfId="3200" xr:uid="{4A9D988D-B0FE-4559-A922-4FE95EDBB025}"/>
    <cellStyle name="20% - Accent3 5 3 2 5" xfId="4024" xr:uid="{2724D942-844F-4173-B247-69B33F029291}"/>
    <cellStyle name="20% - Accent3 5 3 3" xfId="1131" xr:uid="{35720790-268F-4FDC-807E-4A6D27AE9780}"/>
    <cellStyle name="20% - Accent3 5 3 4" xfId="1959" xr:uid="{E69A4492-F8D7-41F3-A1F4-2C7203770E03}"/>
    <cellStyle name="20% - Accent3 5 3 5" xfId="2783" xr:uid="{2A85A5B5-C426-40EB-B64E-1E532853B3A1}"/>
    <cellStyle name="20% - Accent3 5 3 6" xfId="3607" xr:uid="{D3E12591-EB8A-4FC0-827A-A2BAD0159EFC}"/>
    <cellStyle name="20% - Accent3 5 4" xfId="514" xr:uid="{00000000-0005-0000-0000-0000B0000000}"/>
    <cellStyle name="20% - Accent3 5 4 2" xfId="1340" xr:uid="{2B089213-3918-4A3C-80DA-EEB0B40DC8E8}"/>
    <cellStyle name="20% - Accent3 5 4 3" xfId="2168" xr:uid="{1F08FCC0-1341-4081-899E-D91A8D166A00}"/>
    <cellStyle name="20% - Accent3 5 4 4" xfId="2992" xr:uid="{F9DF736A-37BD-47D2-B278-81D9FA01D22B}"/>
    <cellStyle name="20% - Accent3 5 4 5" xfId="3816" xr:uid="{C6AF8BC1-4FF9-4DB7-B5A6-75A8012843B6}"/>
    <cellStyle name="20% - Accent3 5 5" xfId="921" xr:uid="{0EC77440-EEA1-408B-8233-15D9EFA97C80}"/>
    <cellStyle name="20% - Accent3 5 6" xfId="1749" xr:uid="{B6C108B6-870D-4862-9914-BD4AD0568508}"/>
    <cellStyle name="20% - Accent3 5 7" xfId="2573" xr:uid="{6246B658-F0E6-4B67-834A-404D1C757459}"/>
    <cellStyle name="20% - Accent3 5 8" xfId="3397" xr:uid="{06CD11DF-B8ED-440B-975F-4303434994A0}"/>
    <cellStyle name="20% - Accent3 6" xfId="135" xr:uid="{00000000-0005-0000-0000-0000B1000000}"/>
    <cellStyle name="20% - Accent3 6 2" xfId="345" xr:uid="{00000000-0005-0000-0000-0000B2000000}"/>
    <cellStyle name="20% - Accent3 6 2 2" xfId="762" xr:uid="{00000000-0005-0000-0000-0000B3000000}"/>
    <cellStyle name="20% - Accent3 6 2 2 2" xfId="1588" xr:uid="{A17EB32A-D7F4-4D99-AA67-044816C2A2A1}"/>
    <cellStyle name="20% - Accent3 6 2 2 3" xfId="2416" xr:uid="{C287B3E0-FE76-4C33-A203-7582CB50A02D}"/>
    <cellStyle name="20% - Accent3 6 2 2 4" xfId="3240" xr:uid="{82F66ED9-7398-4DE6-A29F-160D2E5CC0CA}"/>
    <cellStyle name="20% - Accent3 6 2 2 5" xfId="4064" xr:uid="{6980D49E-44B9-47E5-8BF7-454F1B170055}"/>
    <cellStyle name="20% - Accent3 6 2 3" xfId="1171" xr:uid="{BE4B7AE9-A367-472A-8F9E-64B0464F44EB}"/>
    <cellStyle name="20% - Accent3 6 2 4" xfId="1999" xr:uid="{6E2810D7-CFB1-434B-8386-13D1F48B3D41}"/>
    <cellStyle name="20% - Accent3 6 2 5" xfId="2823" xr:uid="{CE01FFDB-7C4D-4F57-B13E-5DB51CBFE556}"/>
    <cellStyle name="20% - Accent3 6 2 6" xfId="3647" xr:uid="{A3F8DED0-6B96-438B-BB9A-F8A950A48674}"/>
    <cellStyle name="20% - Accent3 6 3" xfId="554" xr:uid="{00000000-0005-0000-0000-0000B4000000}"/>
    <cellStyle name="20% - Accent3 6 3 2" xfId="1380" xr:uid="{A5E5DDE9-8806-4C12-9A3B-1E6327E45BA4}"/>
    <cellStyle name="20% - Accent3 6 3 3" xfId="2208" xr:uid="{BA2116B7-39FF-4A17-B6DE-B48919B4B57A}"/>
    <cellStyle name="20% - Accent3 6 3 4" xfId="3032" xr:uid="{5FA813A2-24D5-4CE9-B46F-C3B6BDC4FA9D}"/>
    <cellStyle name="20% - Accent3 6 3 5" xfId="3856" xr:uid="{5CC83046-B1F9-4BB8-A094-CAA5D2BF4D17}"/>
    <cellStyle name="20% - Accent3 6 4" xfId="961" xr:uid="{9AE2745B-3036-449A-80B5-EC177635AAD3}"/>
    <cellStyle name="20% - Accent3 6 5" xfId="1789" xr:uid="{94B22E58-1DC8-44FD-8FEE-63FB64091129}"/>
    <cellStyle name="20% - Accent3 6 6" xfId="2613" xr:uid="{A8FB60A1-6133-4789-B5CD-C94F795E4C7C}"/>
    <cellStyle name="20% - Accent3 6 7" xfId="3437" xr:uid="{977ADA82-FF6D-46DC-83CE-72B5654FE309}"/>
    <cellStyle name="20% - Accent3 7" xfId="148" xr:uid="{00000000-0005-0000-0000-0000B5000000}"/>
    <cellStyle name="20% - Accent3 7 2" xfId="357" xr:uid="{00000000-0005-0000-0000-0000B6000000}"/>
    <cellStyle name="20% - Accent3 7 2 2" xfId="774" xr:uid="{00000000-0005-0000-0000-0000B7000000}"/>
    <cellStyle name="20% - Accent3 7 2 2 2" xfId="1600" xr:uid="{96AA4078-7DED-48AA-B7C1-4131726CBCA9}"/>
    <cellStyle name="20% - Accent3 7 2 2 3" xfId="2428" xr:uid="{1668493E-DC03-4160-9A02-23764B6EA5CB}"/>
    <cellStyle name="20% - Accent3 7 2 2 4" xfId="3252" xr:uid="{C9317A2E-B7AA-44D2-ACA1-298857FF00C9}"/>
    <cellStyle name="20% - Accent3 7 2 2 5" xfId="4076" xr:uid="{0A226E9B-FEF7-494B-BA5C-0761F30E8EC7}"/>
    <cellStyle name="20% - Accent3 7 2 3" xfId="1183" xr:uid="{5D44B737-31E8-4785-8D8F-91091EF47E3D}"/>
    <cellStyle name="20% - Accent3 7 2 4" xfId="2011" xr:uid="{4DAE1D9D-3AC5-4752-9053-4C8FAE3D208B}"/>
    <cellStyle name="20% - Accent3 7 2 5" xfId="2835" xr:uid="{7E67961A-0328-481B-BFC1-3606893D8EB5}"/>
    <cellStyle name="20% - Accent3 7 2 6" xfId="3659" xr:uid="{9C0EFD7A-4C20-4079-B93E-055866A2EA4D}"/>
    <cellStyle name="20% - Accent3 7 3" xfId="566" xr:uid="{00000000-0005-0000-0000-0000B8000000}"/>
    <cellStyle name="20% - Accent3 7 3 2" xfId="1392" xr:uid="{91F0A61E-AF8D-480D-BD59-FB426349955D}"/>
    <cellStyle name="20% - Accent3 7 3 3" xfId="2220" xr:uid="{0720C414-BDB4-4AED-939F-3F6A38AABCA6}"/>
    <cellStyle name="20% - Accent3 7 3 4" xfId="3044" xr:uid="{33690C42-34E7-47DB-9778-5EE7E8D68AA5}"/>
    <cellStyle name="20% - Accent3 7 3 5" xfId="3868" xr:uid="{E30640F2-2522-4FD7-86CD-0AC40DB87475}"/>
    <cellStyle name="20% - Accent3 7 4" xfId="974" xr:uid="{A5835EAF-613C-4AE4-823D-66BDF2845334}"/>
    <cellStyle name="20% - Accent3 7 5" xfId="1802" xr:uid="{B6BFDC40-A48B-4CEB-8D5D-D50F4FCD66CB}"/>
    <cellStyle name="20% - Accent3 7 6" xfId="2626" xr:uid="{3A4BE681-F3F0-4298-8264-165B7A9D9187}"/>
    <cellStyle name="20% - Accent3 7 7" xfId="3450" xr:uid="{19887FD0-34BF-4659-9799-28BE5F0E5716}"/>
    <cellStyle name="20% - Accent3 8" xfId="240" xr:uid="{00000000-0005-0000-0000-0000B9000000}"/>
    <cellStyle name="20% - Accent3 8 2" xfId="658" xr:uid="{00000000-0005-0000-0000-0000BA000000}"/>
    <cellStyle name="20% - Accent3 8 2 2" xfId="1484" xr:uid="{D598CDED-74EC-47C2-A955-82B22E4A90BB}"/>
    <cellStyle name="20% - Accent3 8 2 3" xfId="2312" xr:uid="{CA55E001-068C-4640-897C-75B8DB9F709E}"/>
    <cellStyle name="20% - Accent3 8 2 4" xfId="3136" xr:uid="{2FC87A47-A2B5-4C66-925D-75B61483EEFE}"/>
    <cellStyle name="20% - Accent3 8 2 5" xfId="3960" xr:uid="{D8564FB1-72F1-44C0-BC04-D291A2C70605}"/>
    <cellStyle name="20% - Accent3 8 3" xfId="1066" xr:uid="{91E12450-6A95-4A73-9C15-B99F0AA26A48}"/>
    <cellStyle name="20% - Accent3 8 4" xfId="1894" xr:uid="{20F29A1A-688A-4871-B54A-983E9491AF7D}"/>
    <cellStyle name="20% - Accent3 8 5" xfId="2718" xr:uid="{B4AAD157-2310-45FA-A3BD-B3805AC2A3D2}"/>
    <cellStyle name="20% - Accent3 8 6" xfId="3542" xr:uid="{C29B1135-47E8-4874-BD68-7FD96B355475}"/>
    <cellStyle name="20% - Accent3 9" xfId="253" xr:uid="{00000000-0005-0000-0000-0000BB000000}"/>
    <cellStyle name="20% - Accent3 9 2" xfId="670" xr:uid="{00000000-0005-0000-0000-0000BC000000}"/>
    <cellStyle name="20% - Accent3 9 2 2" xfId="1496" xr:uid="{E10B5798-E861-4B21-8573-E65618A5FADA}"/>
    <cellStyle name="20% - Accent3 9 2 3" xfId="2324" xr:uid="{AE873FB2-5CDE-47C4-9ABF-2337F381B593}"/>
    <cellStyle name="20% - Accent3 9 2 4" xfId="3148" xr:uid="{14683E43-549D-4B4D-BDF7-F13E586A56A5}"/>
    <cellStyle name="20% - Accent3 9 2 5" xfId="3972" xr:uid="{49B0717C-00CB-4953-BA9F-491391DD2E95}"/>
    <cellStyle name="20% - Accent3 9 3" xfId="1079" xr:uid="{F59EE301-81B7-426F-986A-D0F4DD298107}"/>
    <cellStyle name="20% - Accent3 9 4" xfId="1907" xr:uid="{4EDF9315-93A7-4D09-823A-46A3B75A8B5D}"/>
    <cellStyle name="20% - Accent3 9 5" xfId="2731" xr:uid="{B869AD80-619F-4302-9BE7-27598978D255}"/>
    <cellStyle name="20% - Accent3 9 6" xfId="3555" xr:uid="{5F22CA7E-01A3-4FCD-912D-F6648F9480A7}"/>
    <cellStyle name="20% - Accent4" xfId="32" builtinId="42" customBuiltin="1"/>
    <cellStyle name="20% - Accent4 10" xfId="451" xr:uid="{00000000-0005-0000-0000-0000BE000000}"/>
    <cellStyle name="20% - Accent4 10 2" xfId="1277" xr:uid="{15F38811-F64A-4F46-9B95-36CC808D45DA}"/>
    <cellStyle name="20% - Accent4 10 3" xfId="2105" xr:uid="{925C039B-73AF-42F6-831D-ACD0D5B89C9D}"/>
    <cellStyle name="20% - Accent4 10 4" xfId="2929" xr:uid="{F16AF0C9-5E9E-450B-B043-C005CC0E3184}"/>
    <cellStyle name="20% - Accent4 10 5" xfId="3753" xr:uid="{C3FC8163-B29C-42A8-8A9E-C0D0AFAB3FEF}"/>
    <cellStyle name="20% - Accent4 11" xfId="464" xr:uid="{00000000-0005-0000-0000-0000BF000000}"/>
    <cellStyle name="20% - Accent4 11 2" xfId="1290" xr:uid="{13D0D624-5D66-42FF-9BA1-52F3F0F3E5C0}"/>
    <cellStyle name="20% - Accent4 11 3" xfId="2118" xr:uid="{B21AA73D-491F-4C72-B695-3142A344E3D3}"/>
    <cellStyle name="20% - Accent4 11 4" xfId="2942" xr:uid="{AA36C696-2835-4E68-8870-304C138CF5DA}"/>
    <cellStyle name="20% - Accent4 11 5" xfId="3766" xr:uid="{05B373F6-60A0-4E45-9291-0057392E3B50}"/>
    <cellStyle name="20% - Accent4 12" xfId="869" xr:uid="{BCE00931-938E-4EC0-BC80-60AD03AEDE5C}"/>
    <cellStyle name="20% - Accent4 13" xfId="1698" xr:uid="{3CE1AD08-FCFD-416D-8EFA-465E1CA402B6}"/>
    <cellStyle name="20% - Accent4 14" xfId="2522" xr:uid="{577F123A-EC5C-491F-9B46-D2E7AEDDCDAE}"/>
    <cellStyle name="20% - Accent4 15" xfId="3346" xr:uid="{EF2BC508-1AB7-4D45-8F35-511087A66D5E}"/>
    <cellStyle name="20% - Accent4 2" xfId="58" xr:uid="{00000000-0005-0000-0000-0000C0000000}"/>
    <cellStyle name="20% - Accent4 2 2" xfId="111" xr:uid="{00000000-0005-0000-0000-0000C1000000}"/>
    <cellStyle name="20% - Accent4 2 2 2" xfId="216" xr:uid="{00000000-0005-0000-0000-0000C2000000}"/>
    <cellStyle name="20% - Accent4 2 2 2 2" xfId="425" xr:uid="{00000000-0005-0000-0000-0000C3000000}"/>
    <cellStyle name="20% - Accent4 2 2 2 2 2" xfId="842" xr:uid="{00000000-0005-0000-0000-0000C4000000}"/>
    <cellStyle name="20% - Accent4 2 2 2 2 2 2" xfId="1668" xr:uid="{D5214A89-CB9C-430B-A100-7DD093B634C7}"/>
    <cellStyle name="20% - Accent4 2 2 2 2 2 3" xfId="2496" xr:uid="{3084EFDF-7D92-4002-B1CF-BBB617F4C1EF}"/>
    <cellStyle name="20% - Accent4 2 2 2 2 2 4" xfId="3320" xr:uid="{80F4BC08-567C-4B06-9363-AA6DF46ACD38}"/>
    <cellStyle name="20% - Accent4 2 2 2 2 2 5" xfId="4144" xr:uid="{E5564502-57FF-4397-9623-28F1FAA15A47}"/>
    <cellStyle name="20% - Accent4 2 2 2 2 3" xfId="1251" xr:uid="{4C5F2EC2-C474-46FD-B228-D40CC9809419}"/>
    <cellStyle name="20% - Accent4 2 2 2 2 4" xfId="2079" xr:uid="{EEF3E4CD-2C35-4560-85BD-2EC7C22ED60E}"/>
    <cellStyle name="20% - Accent4 2 2 2 2 5" xfId="2903" xr:uid="{08275072-A328-4294-817D-C1C5986ED42B}"/>
    <cellStyle name="20% - Accent4 2 2 2 2 6" xfId="3727" xr:uid="{3AC87322-765C-4914-B027-E73058F9B0C5}"/>
    <cellStyle name="20% - Accent4 2 2 2 3" xfId="634" xr:uid="{00000000-0005-0000-0000-0000C5000000}"/>
    <cellStyle name="20% - Accent4 2 2 2 3 2" xfId="1460" xr:uid="{0A7A3BF5-0D88-4DA1-BC1C-31BDF899BA1A}"/>
    <cellStyle name="20% - Accent4 2 2 2 3 3" xfId="2288" xr:uid="{4929EDE4-1402-4D90-A883-E837A8375B94}"/>
    <cellStyle name="20% - Accent4 2 2 2 3 4" xfId="3112" xr:uid="{6389CAE3-2806-4F21-96C0-F8E374B25B04}"/>
    <cellStyle name="20% - Accent4 2 2 2 3 5" xfId="3936" xr:uid="{00276038-0401-4904-B97D-D43EB4A2E279}"/>
    <cellStyle name="20% - Accent4 2 2 2 4" xfId="1042" xr:uid="{558EE1C0-7584-4D44-BC2A-C76BD85F1A31}"/>
    <cellStyle name="20% - Accent4 2 2 2 5" xfId="1870" xr:uid="{36A35BDB-FF05-4337-9DCC-03325C01959A}"/>
    <cellStyle name="20% - Accent4 2 2 2 6" xfId="2694" xr:uid="{287A5229-61A9-4D75-A86C-38159AB0907B}"/>
    <cellStyle name="20% - Accent4 2 2 2 7" xfId="3518" xr:uid="{E33DADE9-24AC-4248-A8F6-D9AB38E26680}"/>
    <cellStyle name="20% - Accent4 2 2 3" xfId="321" xr:uid="{00000000-0005-0000-0000-0000C6000000}"/>
    <cellStyle name="20% - Accent4 2 2 3 2" xfId="738" xr:uid="{00000000-0005-0000-0000-0000C7000000}"/>
    <cellStyle name="20% - Accent4 2 2 3 2 2" xfId="1564" xr:uid="{F4ED04D4-CFF2-4657-8294-DB0950ACE1B3}"/>
    <cellStyle name="20% - Accent4 2 2 3 2 3" xfId="2392" xr:uid="{49F879D1-EAA3-4625-92B0-A509A4A1D260}"/>
    <cellStyle name="20% - Accent4 2 2 3 2 4" xfId="3216" xr:uid="{21124933-306F-4220-9DBB-2D986AED1636}"/>
    <cellStyle name="20% - Accent4 2 2 3 2 5" xfId="4040" xr:uid="{E7794512-8D60-4B7B-A442-F7F6DEC1FBF6}"/>
    <cellStyle name="20% - Accent4 2 2 3 3" xfId="1147" xr:uid="{171ECF4E-74E1-4FD7-9B15-82F3D33B7392}"/>
    <cellStyle name="20% - Accent4 2 2 3 4" xfId="1975" xr:uid="{664B29E0-3CD7-4AE2-9FD7-947B59121249}"/>
    <cellStyle name="20% - Accent4 2 2 3 5" xfId="2799" xr:uid="{B115C7AD-A255-4BBE-98EF-1D3F09D3E1F9}"/>
    <cellStyle name="20% - Accent4 2 2 3 6" xfId="3623" xr:uid="{B47CA8E4-3E9B-4A52-A8DF-ADBE2E3EA885}"/>
    <cellStyle name="20% - Accent4 2 2 4" xfId="530" xr:uid="{00000000-0005-0000-0000-0000C8000000}"/>
    <cellStyle name="20% - Accent4 2 2 4 2" xfId="1356" xr:uid="{5963DC5C-538A-483F-9FBA-FD5CF0223A12}"/>
    <cellStyle name="20% - Accent4 2 2 4 3" xfId="2184" xr:uid="{71947A9B-F786-4B9E-9821-B4A23A8ECC78}"/>
    <cellStyle name="20% - Accent4 2 2 4 4" xfId="3008" xr:uid="{5031B3D6-8980-48F2-873A-5E203A4F40DC}"/>
    <cellStyle name="20% - Accent4 2 2 4 5" xfId="3832" xr:uid="{076241C6-0385-4418-9037-D8873F1D11CA}"/>
    <cellStyle name="20% - Accent4 2 2 5" xfId="937" xr:uid="{391E1CAD-1BE3-4E1F-9094-9E190A926EE0}"/>
    <cellStyle name="20% - Accent4 2 2 6" xfId="1765" xr:uid="{289DC022-50E9-4DCB-9941-FD2C44271A67}"/>
    <cellStyle name="20% - Accent4 2 2 7" xfId="2589" xr:uid="{A2C6FCD8-2475-489D-AF78-DD69731D5203}"/>
    <cellStyle name="20% - Accent4 2 2 8" xfId="3413" xr:uid="{347765B4-A35C-4FFB-B0F4-BCD76E23E5CF}"/>
    <cellStyle name="20% - Accent4 2 3" xfId="164" xr:uid="{00000000-0005-0000-0000-0000C9000000}"/>
    <cellStyle name="20% - Accent4 2 3 2" xfId="373" xr:uid="{00000000-0005-0000-0000-0000CA000000}"/>
    <cellStyle name="20% - Accent4 2 3 2 2" xfId="790" xr:uid="{00000000-0005-0000-0000-0000CB000000}"/>
    <cellStyle name="20% - Accent4 2 3 2 2 2" xfId="1616" xr:uid="{3301C699-B7CD-458F-9D7D-AB1806A467AB}"/>
    <cellStyle name="20% - Accent4 2 3 2 2 3" xfId="2444" xr:uid="{693ABCF5-3175-466F-A196-BE69EE7AFFC8}"/>
    <cellStyle name="20% - Accent4 2 3 2 2 4" xfId="3268" xr:uid="{320FB538-D8C6-4455-89F8-2310B708729F}"/>
    <cellStyle name="20% - Accent4 2 3 2 2 5" xfId="4092" xr:uid="{C186332D-7714-4035-B514-04CAEF3B8B37}"/>
    <cellStyle name="20% - Accent4 2 3 2 3" xfId="1199" xr:uid="{291929EA-6A55-4869-8539-A537A73394C6}"/>
    <cellStyle name="20% - Accent4 2 3 2 4" xfId="2027" xr:uid="{2B28865C-D4C8-4ACD-8E11-7EC9F13130A9}"/>
    <cellStyle name="20% - Accent4 2 3 2 5" xfId="2851" xr:uid="{8595C4BE-962A-4D4A-9828-EB9E01D39ED2}"/>
    <cellStyle name="20% - Accent4 2 3 2 6" xfId="3675" xr:uid="{17DD80F8-15E8-4A2D-9DBB-BA9792E313DF}"/>
    <cellStyle name="20% - Accent4 2 3 3" xfId="582" xr:uid="{00000000-0005-0000-0000-0000CC000000}"/>
    <cellStyle name="20% - Accent4 2 3 3 2" xfId="1408" xr:uid="{C91F49AE-0792-452F-8943-D165F6BF5079}"/>
    <cellStyle name="20% - Accent4 2 3 3 3" xfId="2236" xr:uid="{18EE7AF2-49E7-4885-B716-B5D208B0D9A3}"/>
    <cellStyle name="20% - Accent4 2 3 3 4" xfId="3060" xr:uid="{2A352918-CC98-4564-A403-B4F89F881464}"/>
    <cellStyle name="20% - Accent4 2 3 3 5" xfId="3884" xr:uid="{D9BF6CBE-2C3B-441B-A541-5C9C81AC0746}"/>
    <cellStyle name="20% - Accent4 2 3 4" xfId="990" xr:uid="{42B5461E-909D-4C30-9DB2-29E76B1FDFA9}"/>
    <cellStyle name="20% - Accent4 2 3 5" xfId="1818" xr:uid="{15FF858D-EDA8-4318-9BB1-A2D090F54241}"/>
    <cellStyle name="20% - Accent4 2 3 6" xfId="2642" xr:uid="{8918A9F3-9235-4920-B36A-3F9721A399B1}"/>
    <cellStyle name="20% - Accent4 2 3 7" xfId="3466" xr:uid="{D2CF52CA-D8AA-4401-BB33-7B61B82A8D93}"/>
    <cellStyle name="20% - Accent4 2 4" xfId="269" xr:uid="{00000000-0005-0000-0000-0000CD000000}"/>
    <cellStyle name="20% - Accent4 2 4 2" xfId="686" xr:uid="{00000000-0005-0000-0000-0000CE000000}"/>
    <cellStyle name="20% - Accent4 2 4 2 2" xfId="1512" xr:uid="{2005BC9B-9B7E-4E13-A215-1535E0E46D34}"/>
    <cellStyle name="20% - Accent4 2 4 2 3" xfId="2340" xr:uid="{B7422B89-0A0B-4B2D-8FCD-D8B58A3007FD}"/>
    <cellStyle name="20% - Accent4 2 4 2 4" xfId="3164" xr:uid="{820896E6-5C0E-42CC-8D8F-0C9BDAACEE4B}"/>
    <cellStyle name="20% - Accent4 2 4 2 5" xfId="3988" xr:uid="{543993F8-0CF7-41B2-94FE-AF0711773A54}"/>
    <cellStyle name="20% - Accent4 2 4 3" xfId="1095" xr:uid="{F3D79F7D-26F6-4DD7-A283-C554B5854065}"/>
    <cellStyle name="20% - Accent4 2 4 4" xfId="1923" xr:uid="{7A810708-4EC1-4B01-A6E3-DC883E3ACF2C}"/>
    <cellStyle name="20% - Accent4 2 4 5" xfId="2747" xr:uid="{FDF92AE5-D20A-4324-8B62-E432F00D217E}"/>
    <cellStyle name="20% - Accent4 2 4 6" xfId="3571" xr:uid="{0F6B6AEC-628F-4525-81D5-AA20409888FF}"/>
    <cellStyle name="20% - Accent4 2 5" xfId="478" xr:uid="{00000000-0005-0000-0000-0000CF000000}"/>
    <cellStyle name="20% - Accent4 2 5 2" xfId="1304" xr:uid="{63A43F8E-8984-4FF5-ABB1-FB44CD7E685C}"/>
    <cellStyle name="20% - Accent4 2 5 3" xfId="2132" xr:uid="{6FBF075A-2042-4927-8E78-8152DD2C1E78}"/>
    <cellStyle name="20% - Accent4 2 5 4" xfId="2956" xr:uid="{66FED386-4F18-414A-87B3-9813EBD08BC9}"/>
    <cellStyle name="20% - Accent4 2 5 5" xfId="3780" xr:uid="{CF6B99D2-4017-41AF-B027-C8A4BB1FB316}"/>
    <cellStyle name="20% - Accent4 2 6" xfId="884" xr:uid="{050B7D9F-94F0-4712-879D-A7D20F98AC7B}"/>
    <cellStyle name="20% - Accent4 2 7" xfId="1712" xr:uid="{C72103D5-51C4-4146-B215-52293B3E9C24}"/>
    <cellStyle name="20% - Accent4 2 8" xfId="2536" xr:uid="{88D1714E-B5F7-4F30-A69C-6BD4E0491A89}"/>
    <cellStyle name="20% - Accent4 2 9" xfId="3360" xr:uid="{4D92F96D-E7CF-4740-B258-FEB14527772E}"/>
    <cellStyle name="20% - Accent4 3" xfId="71" xr:uid="{00000000-0005-0000-0000-0000D0000000}"/>
    <cellStyle name="20% - Accent4 3 2" xfId="124" xr:uid="{00000000-0005-0000-0000-0000D1000000}"/>
    <cellStyle name="20% - Accent4 3 2 2" xfId="229" xr:uid="{00000000-0005-0000-0000-0000D2000000}"/>
    <cellStyle name="20% - Accent4 3 2 2 2" xfId="438" xr:uid="{00000000-0005-0000-0000-0000D3000000}"/>
    <cellStyle name="20% - Accent4 3 2 2 2 2" xfId="855" xr:uid="{00000000-0005-0000-0000-0000D4000000}"/>
    <cellStyle name="20% - Accent4 3 2 2 2 2 2" xfId="1681" xr:uid="{AFC4FE4C-360F-470E-AC67-52D963FDE2AD}"/>
    <cellStyle name="20% - Accent4 3 2 2 2 2 3" xfId="2509" xr:uid="{2D5FE3CD-0CC5-4B37-AD83-EC13EB00FF05}"/>
    <cellStyle name="20% - Accent4 3 2 2 2 2 4" xfId="3333" xr:uid="{FA81419E-B9AD-4C32-89EC-31EA635FCE36}"/>
    <cellStyle name="20% - Accent4 3 2 2 2 2 5" xfId="4157" xr:uid="{794FB379-9F3C-457F-A2BB-F31F84C04CD1}"/>
    <cellStyle name="20% - Accent4 3 2 2 2 3" xfId="1264" xr:uid="{DE3D312E-D763-48DB-88B8-2EF55DD14A88}"/>
    <cellStyle name="20% - Accent4 3 2 2 2 4" xfId="2092" xr:uid="{EC0FDAF1-8AD8-4738-A768-48C5476452CC}"/>
    <cellStyle name="20% - Accent4 3 2 2 2 5" xfId="2916" xr:uid="{50656DBA-2A15-41F6-BEEF-C6F4F5B316A9}"/>
    <cellStyle name="20% - Accent4 3 2 2 2 6" xfId="3740" xr:uid="{423E6E35-61AE-47D0-86EB-07603BE733CF}"/>
    <cellStyle name="20% - Accent4 3 2 2 3" xfId="647" xr:uid="{00000000-0005-0000-0000-0000D5000000}"/>
    <cellStyle name="20% - Accent4 3 2 2 3 2" xfId="1473" xr:uid="{6D7D3DDB-7491-4FC7-BA61-A8A08249B640}"/>
    <cellStyle name="20% - Accent4 3 2 2 3 3" xfId="2301" xr:uid="{F7E92839-C697-4F22-A714-FFD738304C33}"/>
    <cellStyle name="20% - Accent4 3 2 2 3 4" xfId="3125" xr:uid="{A3D4420F-6B24-4DE8-9866-407E5ADF78E7}"/>
    <cellStyle name="20% - Accent4 3 2 2 3 5" xfId="3949" xr:uid="{65EA1CAD-537B-426C-A081-0E89FBB8FCB8}"/>
    <cellStyle name="20% - Accent4 3 2 2 4" xfId="1055" xr:uid="{547FE145-B16F-4639-89F5-44A3F5CF26DA}"/>
    <cellStyle name="20% - Accent4 3 2 2 5" xfId="1883" xr:uid="{9CA40BBD-84A4-4897-A535-7F54054E3F4C}"/>
    <cellStyle name="20% - Accent4 3 2 2 6" xfId="2707" xr:uid="{51B984C6-0449-4064-AB45-6786A490572E}"/>
    <cellStyle name="20% - Accent4 3 2 2 7" xfId="3531" xr:uid="{7B4EBE0E-25A5-4097-ABF3-F82DB040843D}"/>
    <cellStyle name="20% - Accent4 3 2 3" xfId="334" xr:uid="{00000000-0005-0000-0000-0000D6000000}"/>
    <cellStyle name="20% - Accent4 3 2 3 2" xfId="751" xr:uid="{00000000-0005-0000-0000-0000D7000000}"/>
    <cellStyle name="20% - Accent4 3 2 3 2 2" xfId="1577" xr:uid="{4FE82A55-636A-4566-BCEC-C407F93AC676}"/>
    <cellStyle name="20% - Accent4 3 2 3 2 3" xfId="2405" xr:uid="{EEBCB0EB-D313-4437-B3A5-BD58B74DAE91}"/>
    <cellStyle name="20% - Accent4 3 2 3 2 4" xfId="3229" xr:uid="{F4D5AEB5-55D5-415D-BDAF-2D6513B54A6A}"/>
    <cellStyle name="20% - Accent4 3 2 3 2 5" xfId="4053" xr:uid="{485B135E-898B-4330-A634-CAE6FC868FFB}"/>
    <cellStyle name="20% - Accent4 3 2 3 3" xfId="1160" xr:uid="{B714203E-C813-4AEE-9287-B9222498F415}"/>
    <cellStyle name="20% - Accent4 3 2 3 4" xfId="1988" xr:uid="{F0E955E3-66F6-41F1-8046-5EA81598386A}"/>
    <cellStyle name="20% - Accent4 3 2 3 5" xfId="2812" xr:uid="{EC724736-21BD-4666-BFD6-E52F3496E206}"/>
    <cellStyle name="20% - Accent4 3 2 3 6" xfId="3636" xr:uid="{06420745-3896-4AF6-A4E6-3AA24304A4DC}"/>
    <cellStyle name="20% - Accent4 3 2 4" xfId="543" xr:uid="{00000000-0005-0000-0000-0000D8000000}"/>
    <cellStyle name="20% - Accent4 3 2 4 2" xfId="1369" xr:uid="{3E568D5C-BE63-49F6-BE2D-ADE0046253EA}"/>
    <cellStyle name="20% - Accent4 3 2 4 3" xfId="2197" xr:uid="{796AC0B0-C673-4F63-A4A2-8F017E3B20BA}"/>
    <cellStyle name="20% - Accent4 3 2 4 4" xfId="3021" xr:uid="{837D4EC5-9D3E-446B-A166-79B89994950A}"/>
    <cellStyle name="20% - Accent4 3 2 4 5" xfId="3845" xr:uid="{D551FE84-D4BE-4CAC-811A-5C24A8862E7D}"/>
    <cellStyle name="20% - Accent4 3 2 5" xfId="950" xr:uid="{D331D6A5-55EB-49CA-88DE-C5A44CBF61A1}"/>
    <cellStyle name="20% - Accent4 3 2 6" xfId="1778" xr:uid="{70B1E8D0-1FC7-441E-802B-389E5002195B}"/>
    <cellStyle name="20% - Accent4 3 2 7" xfId="2602" xr:uid="{A712591D-68B1-4385-8EB3-6FC65DB55850}"/>
    <cellStyle name="20% - Accent4 3 2 8" xfId="3426" xr:uid="{032A3455-BEE2-41A4-AD46-47EA6FBDCAA2}"/>
    <cellStyle name="20% - Accent4 3 3" xfId="177" xr:uid="{00000000-0005-0000-0000-0000D9000000}"/>
    <cellStyle name="20% - Accent4 3 3 2" xfId="386" xr:uid="{00000000-0005-0000-0000-0000DA000000}"/>
    <cellStyle name="20% - Accent4 3 3 2 2" xfId="803" xr:uid="{00000000-0005-0000-0000-0000DB000000}"/>
    <cellStyle name="20% - Accent4 3 3 2 2 2" xfId="1629" xr:uid="{0FB66C21-5F77-4082-9C7D-8E7CA901EE83}"/>
    <cellStyle name="20% - Accent4 3 3 2 2 3" xfId="2457" xr:uid="{B1954061-7958-4A6E-9025-C80AFCF6FE56}"/>
    <cellStyle name="20% - Accent4 3 3 2 2 4" xfId="3281" xr:uid="{84CF5757-1E4B-4A95-881A-BCAD80677399}"/>
    <cellStyle name="20% - Accent4 3 3 2 2 5" xfId="4105" xr:uid="{EFE86CD6-B347-4D5C-B21C-741F8694EE0B}"/>
    <cellStyle name="20% - Accent4 3 3 2 3" xfId="1212" xr:uid="{A740E8A5-FFE1-4A74-8862-038BD8AA016B}"/>
    <cellStyle name="20% - Accent4 3 3 2 4" xfId="2040" xr:uid="{35F0F080-E4FF-43F8-8A15-A18753394724}"/>
    <cellStyle name="20% - Accent4 3 3 2 5" xfId="2864" xr:uid="{150DAD9A-DEA6-477A-AE49-99199B939EB9}"/>
    <cellStyle name="20% - Accent4 3 3 2 6" xfId="3688" xr:uid="{EE2F948F-5337-428B-B4E7-664E53DE1A3A}"/>
    <cellStyle name="20% - Accent4 3 3 3" xfId="595" xr:uid="{00000000-0005-0000-0000-0000DC000000}"/>
    <cellStyle name="20% - Accent4 3 3 3 2" xfId="1421" xr:uid="{9C71D2A1-237A-426C-9FFC-FB5B47045266}"/>
    <cellStyle name="20% - Accent4 3 3 3 3" xfId="2249" xr:uid="{1AD4B28A-3DE0-46AC-BB06-A3BFE13B6CA4}"/>
    <cellStyle name="20% - Accent4 3 3 3 4" xfId="3073" xr:uid="{26104691-0450-4591-BEDC-33237DB647C9}"/>
    <cellStyle name="20% - Accent4 3 3 3 5" xfId="3897" xr:uid="{332254A8-DABA-4E9C-9B23-CCEC1768EB8A}"/>
    <cellStyle name="20% - Accent4 3 3 4" xfId="1003" xr:uid="{B3AB619B-048A-4692-AB0E-A175FAA58759}"/>
    <cellStyle name="20% - Accent4 3 3 5" xfId="1831" xr:uid="{324578EA-3A19-481F-A27E-4D3EF47BC5E1}"/>
    <cellStyle name="20% - Accent4 3 3 6" xfId="2655" xr:uid="{51D2D188-076E-43A2-8FBE-69A8592FA509}"/>
    <cellStyle name="20% - Accent4 3 3 7" xfId="3479" xr:uid="{FD9E9F85-2528-4183-B553-9F61BEADE568}"/>
    <cellStyle name="20% - Accent4 3 4" xfId="282" xr:uid="{00000000-0005-0000-0000-0000DD000000}"/>
    <cellStyle name="20% - Accent4 3 4 2" xfId="699" xr:uid="{00000000-0005-0000-0000-0000DE000000}"/>
    <cellStyle name="20% - Accent4 3 4 2 2" xfId="1525" xr:uid="{3241C249-BECD-4866-BA3F-BB5A7766BCA5}"/>
    <cellStyle name="20% - Accent4 3 4 2 3" xfId="2353" xr:uid="{836EDB94-1ADE-48C8-8498-2C41E18D95C3}"/>
    <cellStyle name="20% - Accent4 3 4 2 4" xfId="3177" xr:uid="{D1D1B5E2-5F3C-4A60-BECA-81AC8D80F1F2}"/>
    <cellStyle name="20% - Accent4 3 4 2 5" xfId="4001" xr:uid="{AA8C4BC0-A0A9-4A19-81CC-C67D928C5EC0}"/>
    <cellStyle name="20% - Accent4 3 4 3" xfId="1108" xr:uid="{E12443B9-0809-4195-91DB-8D81CDBCAC4F}"/>
    <cellStyle name="20% - Accent4 3 4 4" xfId="1936" xr:uid="{4AF5EB84-875C-4689-AA2B-8EE9D92E1C44}"/>
    <cellStyle name="20% - Accent4 3 4 5" xfId="2760" xr:uid="{152ED936-338A-4B2B-9B44-8C1095020C3C}"/>
    <cellStyle name="20% - Accent4 3 4 6" xfId="3584" xr:uid="{72FB10B5-3A53-4339-8639-8FA18E15D9A0}"/>
    <cellStyle name="20% - Accent4 3 5" xfId="491" xr:uid="{00000000-0005-0000-0000-0000DF000000}"/>
    <cellStyle name="20% - Accent4 3 5 2" xfId="1317" xr:uid="{6E2C24FA-BF6C-4352-9B6C-D8A08BFF6EE1}"/>
    <cellStyle name="20% - Accent4 3 5 3" xfId="2145" xr:uid="{66E8DC04-EFDB-4C67-9023-82621BE08C68}"/>
    <cellStyle name="20% - Accent4 3 5 4" xfId="2969" xr:uid="{78EA918F-D32D-4B9E-B806-C9CCD8140B38}"/>
    <cellStyle name="20% - Accent4 3 5 5" xfId="3793" xr:uid="{35813720-A7AA-4DEA-8AA3-7007B580616A}"/>
    <cellStyle name="20% - Accent4 3 6" xfId="897" xr:uid="{DA4F45B4-5605-412B-A723-A285F611FDCD}"/>
    <cellStyle name="20% - Accent4 3 7" xfId="1725" xr:uid="{D61B105B-5ABA-4EAC-9959-10DE9C5525AA}"/>
    <cellStyle name="20% - Accent4 3 8" xfId="2549" xr:uid="{B2D96A08-E0C6-459A-8D3F-BC875C967041}"/>
    <cellStyle name="20% - Accent4 3 9" xfId="3373" xr:uid="{4A1F9B98-7EB2-4181-8792-69CAD78874AB}"/>
    <cellStyle name="20% - Accent4 4" xfId="84" xr:uid="{00000000-0005-0000-0000-0000E0000000}"/>
    <cellStyle name="20% - Accent4 4 2" xfId="190" xr:uid="{00000000-0005-0000-0000-0000E1000000}"/>
    <cellStyle name="20% - Accent4 4 2 2" xfId="399" xr:uid="{00000000-0005-0000-0000-0000E2000000}"/>
    <cellStyle name="20% - Accent4 4 2 2 2" xfId="816" xr:uid="{00000000-0005-0000-0000-0000E3000000}"/>
    <cellStyle name="20% - Accent4 4 2 2 2 2" xfId="1642" xr:uid="{3B242ACF-9AFF-4A3F-915C-E62EB07E3986}"/>
    <cellStyle name="20% - Accent4 4 2 2 2 3" xfId="2470" xr:uid="{F6FF38F9-5383-4ABA-8761-A2EF1FE3D22E}"/>
    <cellStyle name="20% - Accent4 4 2 2 2 4" xfId="3294" xr:uid="{93A55A70-E3D6-4B13-BB79-F17EEA5A5AAA}"/>
    <cellStyle name="20% - Accent4 4 2 2 2 5" xfId="4118" xr:uid="{B65C2183-0424-4651-BB62-5F8341A1E26F}"/>
    <cellStyle name="20% - Accent4 4 2 2 3" xfId="1225" xr:uid="{5D09FEA1-9E70-4B53-97C5-34A4F23AEEEC}"/>
    <cellStyle name="20% - Accent4 4 2 2 4" xfId="2053" xr:uid="{473F0716-440E-4271-ABAF-CB20E7DD4276}"/>
    <cellStyle name="20% - Accent4 4 2 2 5" xfId="2877" xr:uid="{2E59DB4F-3A76-4CFD-9E4C-3210AD719693}"/>
    <cellStyle name="20% - Accent4 4 2 2 6" xfId="3701" xr:uid="{354904DE-E71D-431C-8B04-DD6D6F07D92A}"/>
    <cellStyle name="20% - Accent4 4 2 3" xfId="608" xr:uid="{00000000-0005-0000-0000-0000E4000000}"/>
    <cellStyle name="20% - Accent4 4 2 3 2" xfId="1434" xr:uid="{71D81725-18A8-4A80-A83A-B0D2F609D80F}"/>
    <cellStyle name="20% - Accent4 4 2 3 3" xfId="2262" xr:uid="{0112AA2F-5646-46FB-BDEE-13D7463D8172}"/>
    <cellStyle name="20% - Accent4 4 2 3 4" xfId="3086" xr:uid="{C1046F21-A3E3-4FE1-A89B-A476FE636967}"/>
    <cellStyle name="20% - Accent4 4 2 3 5" xfId="3910" xr:uid="{67846936-2BC0-4E4A-9B09-0C41D145CFC6}"/>
    <cellStyle name="20% - Accent4 4 2 4" xfId="1016" xr:uid="{8DD2BF54-A218-4C61-B445-2916177E8606}"/>
    <cellStyle name="20% - Accent4 4 2 5" xfId="1844" xr:uid="{46CE9BD5-8212-4C01-979D-EC1F55C0829D}"/>
    <cellStyle name="20% - Accent4 4 2 6" xfId="2668" xr:uid="{5BFA004B-6DA8-4A46-A7ED-2E8E9A57EC37}"/>
    <cellStyle name="20% - Accent4 4 2 7" xfId="3492" xr:uid="{9978B1CC-0DA3-4F83-9741-DFEDBB94F869}"/>
    <cellStyle name="20% - Accent4 4 3" xfId="295" xr:uid="{00000000-0005-0000-0000-0000E5000000}"/>
    <cellStyle name="20% - Accent4 4 3 2" xfId="712" xr:uid="{00000000-0005-0000-0000-0000E6000000}"/>
    <cellStyle name="20% - Accent4 4 3 2 2" xfId="1538" xr:uid="{C32D491A-D66A-4130-810E-19C73361CF92}"/>
    <cellStyle name="20% - Accent4 4 3 2 3" xfId="2366" xr:uid="{AFD1C587-353A-4EEA-88DB-56D97D770E7E}"/>
    <cellStyle name="20% - Accent4 4 3 2 4" xfId="3190" xr:uid="{BDCC042F-C516-484F-858D-D064D350031D}"/>
    <cellStyle name="20% - Accent4 4 3 2 5" xfId="4014" xr:uid="{7A2436A3-B5B0-44B7-96EE-08EBFF520168}"/>
    <cellStyle name="20% - Accent4 4 3 3" xfId="1121" xr:uid="{22F983D2-8FE5-4C76-8631-A0127B08DAF7}"/>
    <cellStyle name="20% - Accent4 4 3 4" xfId="1949" xr:uid="{809E45BC-B2EA-4096-8FB4-3BFA27DB27C6}"/>
    <cellStyle name="20% - Accent4 4 3 5" xfId="2773" xr:uid="{464C3E34-C447-470D-9DBA-2A8164660938}"/>
    <cellStyle name="20% - Accent4 4 3 6" xfId="3597" xr:uid="{FF233E2A-EE9E-4BDF-88E7-3E2EF644E982}"/>
    <cellStyle name="20% - Accent4 4 4" xfId="504" xr:uid="{00000000-0005-0000-0000-0000E7000000}"/>
    <cellStyle name="20% - Accent4 4 4 2" xfId="1330" xr:uid="{50106EA5-7720-4D4F-B947-D744D49E401A}"/>
    <cellStyle name="20% - Accent4 4 4 3" xfId="2158" xr:uid="{807C7ACD-46C4-49D9-A563-D288DFA9CE8B}"/>
    <cellStyle name="20% - Accent4 4 4 4" xfId="2982" xr:uid="{92AFBB7C-222E-4598-B2BC-DD2F1EBA3B0C}"/>
    <cellStyle name="20% - Accent4 4 4 5" xfId="3806" xr:uid="{9BE5A65F-77AD-4E27-84B8-DE9EA57090A9}"/>
    <cellStyle name="20% - Accent4 4 5" xfId="910" xr:uid="{E9EAA018-AC01-43B2-A62B-89D35B90C6F0}"/>
    <cellStyle name="20% - Accent4 4 6" xfId="1738" xr:uid="{1623BA0A-7373-45C1-83A8-2113EF796254}"/>
    <cellStyle name="20% - Accent4 4 7" xfId="2562" xr:uid="{E7D9EB3C-4D2A-4FB4-B6DC-3AB562123759}"/>
    <cellStyle name="20% - Accent4 4 8" xfId="3386" xr:uid="{F13471B6-4AAD-4E77-B556-D84F4EA50642}"/>
    <cellStyle name="20% - Accent4 5" xfId="97" xr:uid="{00000000-0005-0000-0000-0000E8000000}"/>
    <cellStyle name="20% - Accent4 5 2" xfId="202" xr:uid="{00000000-0005-0000-0000-0000E9000000}"/>
    <cellStyle name="20% - Accent4 5 2 2" xfId="411" xr:uid="{00000000-0005-0000-0000-0000EA000000}"/>
    <cellStyle name="20% - Accent4 5 2 2 2" xfId="828" xr:uid="{00000000-0005-0000-0000-0000EB000000}"/>
    <cellStyle name="20% - Accent4 5 2 2 2 2" xfId="1654" xr:uid="{C06EDB45-335A-4494-804A-BF48EAA9035F}"/>
    <cellStyle name="20% - Accent4 5 2 2 2 3" xfId="2482" xr:uid="{DFFE9690-010B-493F-BF8B-F9060A64B210}"/>
    <cellStyle name="20% - Accent4 5 2 2 2 4" xfId="3306" xr:uid="{725461F3-62CF-4A30-821B-43E688F0FF7B}"/>
    <cellStyle name="20% - Accent4 5 2 2 2 5" xfId="4130" xr:uid="{00E67207-929A-429D-88D4-2713673CE196}"/>
    <cellStyle name="20% - Accent4 5 2 2 3" xfId="1237" xr:uid="{30AF6C2F-0FB8-4D9D-821B-A6DEAE7F2556}"/>
    <cellStyle name="20% - Accent4 5 2 2 4" xfId="2065" xr:uid="{6A1DBE1A-E7E3-4879-8EED-F17D822E7435}"/>
    <cellStyle name="20% - Accent4 5 2 2 5" xfId="2889" xr:uid="{73ED3170-443B-4839-BC43-C8EB7E46089D}"/>
    <cellStyle name="20% - Accent4 5 2 2 6" xfId="3713" xr:uid="{05128CF5-A483-4951-8534-9551909507D9}"/>
    <cellStyle name="20% - Accent4 5 2 3" xfId="620" xr:uid="{00000000-0005-0000-0000-0000EC000000}"/>
    <cellStyle name="20% - Accent4 5 2 3 2" xfId="1446" xr:uid="{C265A927-C0D3-4204-ACC2-34289B406E9B}"/>
    <cellStyle name="20% - Accent4 5 2 3 3" xfId="2274" xr:uid="{450ED7C6-FF64-4677-9079-101BF5BC5815}"/>
    <cellStyle name="20% - Accent4 5 2 3 4" xfId="3098" xr:uid="{48CCFDA0-4449-42FD-892E-0CD4D046C4CB}"/>
    <cellStyle name="20% - Accent4 5 2 3 5" xfId="3922" xr:uid="{9ABD393B-6095-4870-A5C5-A64B7C992B17}"/>
    <cellStyle name="20% - Accent4 5 2 4" xfId="1028" xr:uid="{8407FEE2-8931-4B25-BC0D-40533C477FF6}"/>
    <cellStyle name="20% - Accent4 5 2 5" xfId="1856" xr:uid="{E071C903-AABD-4C8C-9C82-C27622A349A0}"/>
    <cellStyle name="20% - Accent4 5 2 6" xfId="2680" xr:uid="{2DCAB3A4-7E69-4641-BA37-8C700C11EBC1}"/>
    <cellStyle name="20% - Accent4 5 2 7" xfId="3504" xr:uid="{99CB6DC0-85A3-42D4-9EF6-AC1EB4E4EF21}"/>
    <cellStyle name="20% - Accent4 5 3" xfId="307" xr:uid="{00000000-0005-0000-0000-0000ED000000}"/>
    <cellStyle name="20% - Accent4 5 3 2" xfId="724" xr:uid="{00000000-0005-0000-0000-0000EE000000}"/>
    <cellStyle name="20% - Accent4 5 3 2 2" xfId="1550" xr:uid="{A8183DB4-5082-48D0-BB80-179C615D2BD1}"/>
    <cellStyle name="20% - Accent4 5 3 2 3" xfId="2378" xr:uid="{BD202D5F-1929-45EB-ADF8-0F8226CCF027}"/>
    <cellStyle name="20% - Accent4 5 3 2 4" xfId="3202" xr:uid="{8BFE712D-D1CF-4410-81A3-C3BD24CF4FC3}"/>
    <cellStyle name="20% - Accent4 5 3 2 5" xfId="4026" xr:uid="{2AEF5659-7288-4E34-B2BA-5F39847B74B3}"/>
    <cellStyle name="20% - Accent4 5 3 3" xfId="1133" xr:uid="{62C5432C-511F-4629-94A2-BBF7BF533C5F}"/>
    <cellStyle name="20% - Accent4 5 3 4" xfId="1961" xr:uid="{1648F453-A72E-4727-A8F0-1286C3973E27}"/>
    <cellStyle name="20% - Accent4 5 3 5" xfId="2785" xr:uid="{0E5A55A5-DD1C-4FAD-8D46-34DEB57F5B2B}"/>
    <cellStyle name="20% - Accent4 5 3 6" xfId="3609" xr:uid="{9891A51A-6D2C-4240-BB31-9A1884F0F4FA}"/>
    <cellStyle name="20% - Accent4 5 4" xfId="516" xr:uid="{00000000-0005-0000-0000-0000EF000000}"/>
    <cellStyle name="20% - Accent4 5 4 2" xfId="1342" xr:uid="{8F8D3ACA-3A92-4D70-8F59-35B927D00D53}"/>
    <cellStyle name="20% - Accent4 5 4 3" xfId="2170" xr:uid="{DB3AD24F-368A-4D16-B2E5-3DD2082E4F11}"/>
    <cellStyle name="20% - Accent4 5 4 4" xfId="2994" xr:uid="{4E441900-574C-46CD-A954-85BC2F0DE104}"/>
    <cellStyle name="20% - Accent4 5 4 5" xfId="3818" xr:uid="{75F9D3BF-2458-4809-9CD8-1DB7CBC71E16}"/>
    <cellStyle name="20% - Accent4 5 5" xfId="923" xr:uid="{3A5BB6DE-2B64-4BA5-A540-F033DB2F7176}"/>
    <cellStyle name="20% - Accent4 5 6" xfId="1751" xr:uid="{6F9E26C3-B72C-470F-A1BE-2F3E44EDF926}"/>
    <cellStyle name="20% - Accent4 5 7" xfId="2575" xr:uid="{DC55A359-136E-4639-88CD-E660FF02551B}"/>
    <cellStyle name="20% - Accent4 5 8" xfId="3399" xr:uid="{0D42646E-0510-468C-9B86-F65F9D2A6FEE}"/>
    <cellStyle name="20% - Accent4 6" xfId="137" xr:uid="{00000000-0005-0000-0000-0000F0000000}"/>
    <cellStyle name="20% - Accent4 6 2" xfId="347" xr:uid="{00000000-0005-0000-0000-0000F1000000}"/>
    <cellStyle name="20% - Accent4 6 2 2" xfId="764" xr:uid="{00000000-0005-0000-0000-0000F2000000}"/>
    <cellStyle name="20% - Accent4 6 2 2 2" xfId="1590" xr:uid="{0526C2DD-9524-4BF8-A2BD-6EF5751A5486}"/>
    <cellStyle name="20% - Accent4 6 2 2 3" xfId="2418" xr:uid="{66C4BB39-7FC6-4438-8E58-C9D090189876}"/>
    <cellStyle name="20% - Accent4 6 2 2 4" xfId="3242" xr:uid="{F121D516-287E-4AEF-9643-54ACB688B9DA}"/>
    <cellStyle name="20% - Accent4 6 2 2 5" xfId="4066" xr:uid="{49B4631B-24F1-4C43-A72A-E42CB8B01F4D}"/>
    <cellStyle name="20% - Accent4 6 2 3" xfId="1173" xr:uid="{957A3811-A8C2-4174-A96E-DE9C31C7AB9A}"/>
    <cellStyle name="20% - Accent4 6 2 4" xfId="2001" xr:uid="{31481862-DCD1-411F-A662-A9FA4BC7117A}"/>
    <cellStyle name="20% - Accent4 6 2 5" xfId="2825" xr:uid="{F24DB832-0B05-4F40-BAF9-6DE7F9FA6F32}"/>
    <cellStyle name="20% - Accent4 6 2 6" xfId="3649" xr:uid="{0F1D8346-51EB-4A15-A666-F6A2A9E11756}"/>
    <cellStyle name="20% - Accent4 6 3" xfId="556" xr:uid="{00000000-0005-0000-0000-0000F3000000}"/>
    <cellStyle name="20% - Accent4 6 3 2" xfId="1382" xr:uid="{447BD1C7-72CF-4501-A682-0C3BC1AEDF4C}"/>
    <cellStyle name="20% - Accent4 6 3 3" xfId="2210" xr:uid="{93A5E89D-530E-4B37-8A5B-7BC53BAFE2B3}"/>
    <cellStyle name="20% - Accent4 6 3 4" xfId="3034" xr:uid="{EEB49665-7C66-4A30-8618-BB5CC8C16228}"/>
    <cellStyle name="20% - Accent4 6 3 5" xfId="3858" xr:uid="{3175FA1D-C6C8-462C-835B-A5DC9C8088E7}"/>
    <cellStyle name="20% - Accent4 6 4" xfId="963" xr:uid="{183E8995-B776-44F2-81E4-1A2916FDFB87}"/>
    <cellStyle name="20% - Accent4 6 5" xfId="1791" xr:uid="{5520509F-EDC1-4A40-B8F7-43DB72719CCD}"/>
    <cellStyle name="20% - Accent4 6 6" xfId="2615" xr:uid="{303701FD-869A-4D00-9674-9DB87A5688C2}"/>
    <cellStyle name="20% - Accent4 6 7" xfId="3439" xr:uid="{D1ED2F04-4AE7-4EE2-9045-32D9049D9DBA}"/>
    <cellStyle name="20% - Accent4 7" xfId="150" xr:uid="{00000000-0005-0000-0000-0000F4000000}"/>
    <cellStyle name="20% - Accent4 7 2" xfId="359" xr:uid="{00000000-0005-0000-0000-0000F5000000}"/>
    <cellStyle name="20% - Accent4 7 2 2" xfId="776" xr:uid="{00000000-0005-0000-0000-0000F6000000}"/>
    <cellStyle name="20% - Accent4 7 2 2 2" xfId="1602" xr:uid="{724D4DE0-A2BC-4D26-BAD8-85870389E3C9}"/>
    <cellStyle name="20% - Accent4 7 2 2 3" xfId="2430" xr:uid="{F8F18D85-6597-493C-ADEB-41655EC0683E}"/>
    <cellStyle name="20% - Accent4 7 2 2 4" xfId="3254" xr:uid="{7BF69983-FBF7-4AC7-9811-3EAB3D1F4484}"/>
    <cellStyle name="20% - Accent4 7 2 2 5" xfId="4078" xr:uid="{308E3393-A823-40D3-AD9F-4E03A0200EB5}"/>
    <cellStyle name="20% - Accent4 7 2 3" xfId="1185" xr:uid="{D0E236CC-07DF-4CBA-A6E9-D65881173CF8}"/>
    <cellStyle name="20% - Accent4 7 2 4" xfId="2013" xr:uid="{D936C91D-5878-4760-B8BA-7C75C59E81B5}"/>
    <cellStyle name="20% - Accent4 7 2 5" xfId="2837" xr:uid="{1BD95604-9D02-4743-B7A5-4348B4A1E97F}"/>
    <cellStyle name="20% - Accent4 7 2 6" xfId="3661" xr:uid="{003345A3-414C-46F8-9CA4-CAC946D0846E}"/>
    <cellStyle name="20% - Accent4 7 3" xfId="568" xr:uid="{00000000-0005-0000-0000-0000F7000000}"/>
    <cellStyle name="20% - Accent4 7 3 2" xfId="1394" xr:uid="{75FB4D87-B688-41EA-A2D0-BC84D6725364}"/>
    <cellStyle name="20% - Accent4 7 3 3" xfId="2222" xr:uid="{CC76BFE8-BBDE-4944-92FA-9A9DAD6F2F4B}"/>
    <cellStyle name="20% - Accent4 7 3 4" xfId="3046" xr:uid="{79F571FC-C57B-4CDC-84A6-4FA64F216B5C}"/>
    <cellStyle name="20% - Accent4 7 3 5" xfId="3870" xr:uid="{194CBF7B-1737-4088-A2AC-41BF19AADEF3}"/>
    <cellStyle name="20% - Accent4 7 4" xfId="976" xr:uid="{B093CE93-8818-49EE-937E-4F42271FDEEE}"/>
    <cellStyle name="20% - Accent4 7 5" xfId="1804" xr:uid="{40ADD7AA-228E-4D49-9FC3-173DC8CC2D5F}"/>
    <cellStyle name="20% - Accent4 7 6" xfId="2628" xr:uid="{BEF59E7E-D186-45B9-8A92-9EB6C1DEBA1D}"/>
    <cellStyle name="20% - Accent4 7 7" xfId="3452" xr:uid="{8AB777F9-EA6D-43D6-A87C-D0E350F51777}"/>
    <cellStyle name="20% - Accent4 8" xfId="242" xr:uid="{00000000-0005-0000-0000-0000F8000000}"/>
    <cellStyle name="20% - Accent4 8 2" xfId="660" xr:uid="{00000000-0005-0000-0000-0000F9000000}"/>
    <cellStyle name="20% - Accent4 8 2 2" xfId="1486" xr:uid="{CE493A83-8D82-40D4-B052-ECB36D06079C}"/>
    <cellStyle name="20% - Accent4 8 2 3" xfId="2314" xr:uid="{F5843085-2F23-48AF-A79E-0D73403C763C}"/>
    <cellStyle name="20% - Accent4 8 2 4" xfId="3138" xr:uid="{CF5F41C3-CCF3-40C6-A8C5-E646D576603F}"/>
    <cellStyle name="20% - Accent4 8 2 5" xfId="3962" xr:uid="{8C8327A8-9786-446D-B9F9-BF5DDE61A475}"/>
    <cellStyle name="20% - Accent4 8 3" xfId="1068" xr:uid="{4716ABA6-9F6B-4DC0-AD7F-8355531A50F6}"/>
    <cellStyle name="20% - Accent4 8 4" xfId="1896" xr:uid="{EF5FB7D7-B242-4AA7-82BE-3FE57E50ACAF}"/>
    <cellStyle name="20% - Accent4 8 5" xfId="2720" xr:uid="{A0CDC82B-52BF-4B81-83F4-0BD68253B84A}"/>
    <cellStyle name="20% - Accent4 8 6" xfId="3544" xr:uid="{3C29F5A6-6835-45AC-8687-87AA424C6528}"/>
    <cellStyle name="20% - Accent4 9" xfId="255" xr:uid="{00000000-0005-0000-0000-0000FA000000}"/>
    <cellStyle name="20% - Accent4 9 2" xfId="672" xr:uid="{00000000-0005-0000-0000-0000FB000000}"/>
    <cellStyle name="20% - Accent4 9 2 2" xfId="1498" xr:uid="{B41DC258-40E5-43DF-9FA6-8217C31046E3}"/>
    <cellStyle name="20% - Accent4 9 2 3" xfId="2326" xr:uid="{70403AFE-DA98-452A-A583-9417631DA190}"/>
    <cellStyle name="20% - Accent4 9 2 4" xfId="3150" xr:uid="{D582429E-0AF6-4151-B5C8-28F40127B7A9}"/>
    <cellStyle name="20% - Accent4 9 2 5" xfId="3974" xr:uid="{347DB08B-279F-48F0-B77D-971FAC28AC94}"/>
    <cellStyle name="20% - Accent4 9 3" xfId="1081" xr:uid="{A5F26AE0-5D4A-44B0-AA8E-74242ACC4E10}"/>
    <cellStyle name="20% - Accent4 9 4" xfId="1909" xr:uid="{8CF91A87-F791-49E7-8275-21C5898FB398}"/>
    <cellStyle name="20% - Accent4 9 5" xfId="2733" xr:uid="{6B7F2D26-284A-46CB-8ABD-3E09D221D8A8}"/>
    <cellStyle name="20% - Accent4 9 6" xfId="3557" xr:uid="{8AE91C24-9172-41BE-90D3-930BAA04F76D}"/>
    <cellStyle name="20% - Accent5" xfId="35" builtinId="46" customBuiltin="1"/>
    <cellStyle name="20% - Accent5 10" xfId="453" xr:uid="{00000000-0005-0000-0000-0000FD000000}"/>
    <cellStyle name="20% - Accent5 10 2" xfId="1279" xr:uid="{1B2C3F23-769B-44D9-AFC1-578D9F8F5669}"/>
    <cellStyle name="20% - Accent5 10 3" xfId="2107" xr:uid="{4525A58E-B37F-4E2F-BD22-9732946BDDB7}"/>
    <cellStyle name="20% - Accent5 10 4" xfId="2931" xr:uid="{80C2BA08-4BA6-41D2-B53E-1BEC7DC9CEAB}"/>
    <cellStyle name="20% - Accent5 10 5" xfId="3755" xr:uid="{00F8961D-5889-47E4-91F2-F36E21186A58}"/>
    <cellStyle name="20% - Accent5 11" xfId="466" xr:uid="{00000000-0005-0000-0000-0000FE000000}"/>
    <cellStyle name="20% - Accent5 11 2" xfId="1292" xr:uid="{9319FEB7-8515-4D63-AA51-3285DC452883}"/>
    <cellStyle name="20% - Accent5 11 3" xfId="2120" xr:uid="{4AC33737-88C4-41B2-A1A6-EBE4C8A442E8}"/>
    <cellStyle name="20% - Accent5 11 4" xfId="2944" xr:uid="{E860A21E-497D-401F-86C5-74021EDD99CA}"/>
    <cellStyle name="20% - Accent5 11 5" xfId="3768" xr:uid="{650902DC-7A59-4707-B105-EA96548617BE}"/>
    <cellStyle name="20% - Accent5 12" xfId="871" xr:uid="{4567DB8E-1EFE-4B6D-B9EC-F519659498BA}"/>
    <cellStyle name="20% - Accent5 13" xfId="1700" xr:uid="{8D90B4E7-77E7-4755-AE13-FD0F063792DF}"/>
    <cellStyle name="20% - Accent5 14" xfId="2524" xr:uid="{A3DF2A0A-7A69-40D5-A1B5-A499D9496350}"/>
    <cellStyle name="20% - Accent5 15" xfId="3348" xr:uid="{9E25B1BD-CBD5-46AF-9EA2-947D7B6E29B1}"/>
    <cellStyle name="20% - Accent5 2" xfId="60" xr:uid="{00000000-0005-0000-0000-0000FF000000}"/>
    <cellStyle name="20% - Accent5 2 2" xfId="113" xr:uid="{00000000-0005-0000-0000-000000010000}"/>
    <cellStyle name="20% - Accent5 2 2 2" xfId="218" xr:uid="{00000000-0005-0000-0000-000001010000}"/>
    <cellStyle name="20% - Accent5 2 2 2 2" xfId="427" xr:uid="{00000000-0005-0000-0000-000002010000}"/>
    <cellStyle name="20% - Accent5 2 2 2 2 2" xfId="844" xr:uid="{00000000-0005-0000-0000-000003010000}"/>
    <cellStyle name="20% - Accent5 2 2 2 2 2 2" xfId="1670" xr:uid="{85E5523E-FAA0-454C-A86B-990B745951F1}"/>
    <cellStyle name="20% - Accent5 2 2 2 2 2 3" xfId="2498" xr:uid="{BB2D8A42-C1E9-4236-A042-874E93B255CF}"/>
    <cellStyle name="20% - Accent5 2 2 2 2 2 4" xfId="3322" xr:uid="{4E83F06A-4B8E-4AEE-A20D-62FA58FD487B}"/>
    <cellStyle name="20% - Accent5 2 2 2 2 2 5" xfId="4146" xr:uid="{58589643-0C6D-4053-B1D9-4FC4BDFA7D37}"/>
    <cellStyle name="20% - Accent5 2 2 2 2 3" xfId="1253" xr:uid="{79561243-0EB1-4C58-82CE-227F2384E18A}"/>
    <cellStyle name="20% - Accent5 2 2 2 2 4" xfId="2081" xr:uid="{33845D5F-EEBF-441B-BA8E-68EE40D25E82}"/>
    <cellStyle name="20% - Accent5 2 2 2 2 5" xfId="2905" xr:uid="{1FF834CC-1867-4FAE-89E6-FE27FB242F3D}"/>
    <cellStyle name="20% - Accent5 2 2 2 2 6" xfId="3729" xr:uid="{D49B51FB-E4B6-483D-849B-57E25CE93817}"/>
    <cellStyle name="20% - Accent5 2 2 2 3" xfId="636" xr:uid="{00000000-0005-0000-0000-000004010000}"/>
    <cellStyle name="20% - Accent5 2 2 2 3 2" xfId="1462" xr:uid="{BFDEAE9B-D5D9-453F-9EEA-4DDBB9C001BE}"/>
    <cellStyle name="20% - Accent5 2 2 2 3 3" xfId="2290" xr:uid="{4F59ADD5-1E5E-4E97-A0F5-909678099F2A}"/>
    <cellStyle name="20% - Accent5 2 2 2 3 4" xfId="3114" xr:uid="{EE87E85A-8861-430B-8AAD-2C25B9E864FF}"/>
    <cellStyle name="20% - Accent5 2 2 2 3 5" xfId="3938" xr:uid="{6B549771-A24F-4F1C-8318-D6FF8330C3DC}"/>
    <cellStyle name="20% - Accent5 2 2 2 4" xfId="1044" xr:uid="{826D91C7-7918-4EA0-849E-BE7081F64A1F}"/>
    <cellStyle name="20% - Accent5 2 2 2 5" xfId="1872" xr:uid="{A6D5BA1C-BE30-4DC8-B763-BD49491FAACF}"/>
    <cellStyle name="20% - Accent5 2 2 2 6" xfId="2696" xr:uid="{63B9B0B2-2399-4580-8BDE-55ABAD752FD6}"/>
    <cellStyle name="20% - Accent5 2 2 2 7" xfId="3520" xr:uid="{A1D1A449-552C-4B85-95D3-778BC25CF547}"/>
    <cellStyle name="20% - Accent5 2 2 3" xfId="323" xr:uid="{00000000-0005-0000-0000-000005010000}"/>
    <cellStyle name="20% - Accent5 2 2 3 2" xfId="740" xr:uid="{00000000-0005-0000-0000-000006010000}"/>
    <cellStyle name="20% - Accent5 2 2 3 2 2" xfId="1566" xr:uid="{AC072FB2-9B1F-4CC8-A86E-0EDAE6F54331}"/>
    <cellStyle name="20% - Accent5 2 2 3 2 3" xfId="2394" xr:uid="{1F8B793D-7C4E-4E5E-910A-E377E2B47E0E}"/>
    <cellStyle name="20% - Accent5 2 2 3 2 4" xfId="3218" xr:uid="{C1AF7D02-890F-43E2-BA3F-50BF658D46E4}"/>
    <cellStyle name="20% - Accent5 2 2 3 2 5" xfId="4042" xr:uid="{468120EE-EE96-4046-8B9F-B78366EB9AEC}"/>
    <cellStyle name="20% - Accent5 2 2 3 3" xfId="1149" xr:uid="{20DDA6D2-CEA1-4C15-93F5-6687023CE4FB}"/>
    <cellStyle name="20% - Accent5 2 2 3 4" xfId="1977" xr:uid="{24000631-4487-4FBB-A0B0-24F5469C335F}"/>
    <cellStyle name="20% - Accent5 2 2 3 5" xfId="2801" xr:uid="{34D727BE-88BF-4FDD-8A60-4D78EDB0DED2}"/>
    <cellStyle name="20% - Accent5 2 2 3 6" xfId="3625" xr:uid="{EA501919-761C-4320-B7C2-0D9B855BE39A}"/>
    <cellStyle name="20% - Accent5 2 2 4" xfId="532" xr:uid="{00000000-0005-0000-0000-000007010000}"/>
    <cellStyle name="20% - Accent5 2 2 4 2" xfId="1358" xr:uid="{12FB79DB-5B09-467C-84C1-0C398B58D2F8}"/>
    <cellStyle name="20% - Accent5 2 2 4 3" xfId="2186" xr:uid="{66F604F1-4C9D-4070-B455-ACFD4ABD079E}"/>
    <cellStyle name="20% - Accent5 2 2 4 4" xfId="3010" xr:uid="{DDDDA079-2CF5-4FB9-A86E-502D10F879F9}"/>
    <cellStyle name="20% - Accent5 2 2 4 5" xfId="3834" xr:uid="{DF8DAB8A-5921-4320-8B6C-65CA99D319EB}"/>
    <cellStyle name="20% - Accent5 2 2 5" xfId="939" xr:uid="{A454D4BC-D0A3-4A65-944D-D31506E4080F}"/>
    <cellStyle name="20% - Accent5 2 2 6" xfId="1767" xr:uid="{07FFE3F5-9AF4-4E74-AA7E-EC63DD7282C1}"/>
    <cellStyle name="20% - Accent5 2 2 7" xfId="2591" xr:uid="{E79297DD-84E7-43FA-B304-EFF39B1028DF}"/>
    <cellStyle name="20% - Accent5 2 2 8" xfId="3415" xr:uid="{CF911E83-B463-4CA0-B9C7-8E735C69D48B}"/>
    <cellStyle name="20% - Accent5 2 3" xfId="166" xr:uid="{00000000-0005-0000-0000-000008010000}"/>
    <cellStyle name="20% - Accent5 2 3 2" xfId="375" xr:uid="{00000000-0005-0000-0000-000009010000}"/>
    <cellStyle name="20% - Accent5 2 3 2 2" xfId="792" xr:uid="{00000000-0005-0000-0000-00000A010000}"/>
    <cellStyle name="20% - Accent5 2 3 2 2 2" xfId="1618" xr:uid="{DACCBC82-372F-4B50-B2EE-00D95CF6B224}"/>
    <cellStyle name="20% - Accent5 2 3 2 2 3" xfId="2446" xr:uid="{EC3216E8-59D8-4B1F-B959-006351D42CC1}"/>
    <cellStyle name="20% - Accent5 2 3 2 2 4" xfId="3270" xr:uid="{475C67D2-3D5B-4753-A334-C73BF09B8FFB}"/>
    <cellStyle name="20% - Accent5 2 3 2 2 5" xfId="4094" xr:uid="{E5A93505-90D3-4059-8497-A70A631735E3}"/>
    <cellStyle name="20% - Accent5 2 3 2 3" xfId="1201" xr:uid="{3455BAFC-F7E3-46B5-B616-46BC87460B32}"/>
    <cellStyle name="20% - Accent5 2 3 2 4" xfId="2029" xr:uid="{8762B243-7244-4D85-8556-9078175DC331}"/>
    <cellStyle name="20% - Accent5 2 3 2 5" xfId="2853" xr:uid="{0110D19C-E960-4CFA-8DE6-AEEE23287244}"/>
    <cellStyle name="20% - Accent5 2 3 2 6" xfId="3677" xr:uid="{FE5C7D20-364E-4429-957A-F160F231BA9D}"/>
    <cellStyle name="20% - Accent5 2 3 3" xfId="584" xr:uid="{00000000-0005-0000-0000-00000B010000}"/>
    <cellStyle name="20% - Accent5 2 3 3 2" xfId="1410" xr:uid="{2CFF0A23-F79E-4E83-BCF9-6EA70C9A30F2}"/>
    <cellStyle name="20% - Accent5 2 3 3 3" xfId="2238" xr:uid="{EFF28419-52DF-4761-B6B7-82DCF08A83E1}"/>
    <cellStyle name="20% - Accent5 2 3 3 4" xfId="3062" xr:uid="{584579D3-B533-4799-A743-A0689D9CFA91}"/>
    <cellStyle name="20% - Accent5 2 3 3 5" xfId="3886" xr:uid="{8B815F19-AD85-4466-917E-17F7542D0FA5}"/>
    <cellStyle name="20% - Accent5 2 3 4" xfId="992" xr:uid="{169D12D1-F612-4044-B252-A7F624D11040}"/>
    <cellStyle name="20% - Accent5 2 3 5" xfId="1820" xr:uid="{D07BBF85-12DE-4610-8383-5E605E469E85}"/>
    <cellStyle name="20% - Accent5 2 3 6" xfId="2644" xr:uid="{486EFA8F-449A-4C15-8003-12B4AA0F522B}"/>
    <cellStyle name="20% - Accent5 2 3 7" xfId="3468" xr:uid="{44FC201F-0B78-4DCA-BA02-6573D130E649}"/>
    <cellStyle name="20% - Accent5 2 4" xfId="271" xr:uid="{00000000-0005-0000-0000-00000C010000}"/>
    <cellStyle name="20% - Accent5 2 4 2" xfId="688" xr:uid="{00000000-0005-0000-0000-00000D010000}"/>
    <cellStyle name="20% - Accent5 2 4 2 2" xfId="1514" xr:uid="{959D58E4-1786-4472-ABE0-348D366626CC}"/>
    <cellStyle name="20% - Accent5 2 4 2 3" xfId="2342" xr:uid="{7557F4B9-B89A-4E3C-987F-B5DB99488945}"/>
    <cellStyle name="20% - Accent5 2 4 2 4" xfId="3166" xr:uid="{2A3520C4-3898-4695-96DF-165A2B040025}"/>
    <cellStyle name="20% - Accent5 2 4 2 5" xfId="3990" xr:uid="{89861215-BA80-4E12-B2A1-3EFF2E1548CF}"/>
    <cellStyle name="20% - Accent5 2 4 3" xfId="1097" xr:uid="{D03CA80A-75FC-4948-AE64-D063DC370CE9}"/>
    <cellStyle name="20% - Accent5 2 4 4" xfId="1925" xr:uid="{03D1AC35-57E5-44DA-BC92-D638C60B854A}"/>
    <cellStyle name="20% - Accent5 2 4 5" xfId="2749" xr:uid="{E151ABEB-9272-4563-A859-CE64CE9143AF}"/>
    <cellStyle name="20% - Accent5 2 4 6" xfId="3573" xr:uid="{C637591B-BEB3-4498-A7B6-BFD1BD40E937}"/>
    <cellStyle name="20% - Accent5 2 5" xfId="480" xr:uid="{00000000-0005-0000-0000-00000E010000}"/>
    <cellStyle name="20% - Accent5 2 5 2" xfId="1306" xr:uid="{EAE88185-3764-4B87-8F1C-B366CC641FCF}"/>
    <cellStyle name="20% - Accent5 2 5 3" xfId="2134" xr:uid="{53845E7D-748C-4F02-88E9-1EEC8AB7746B}"/>
    <cellStyle name="20% - Accent5 2 5 4" xfId="2958" xr:uid="{20A8DB17-7D3C-4EBE-8DC5-C3B9CE4EA32E}"/>
    <cellStyle name="20% - Accent5 2 5 5" xfId="3782" xr:uid="{F796569F-D3CC-4947-A452-3EB8F05EBAF3}"/>
    <cellStyle name="20% - Accent5 2 6" xfId="886" xr:uid="{024BCAAE-7866-429F-8056-00C1265D7722}"/>
    <cellStyle name="20% - Accent5 2 7" xfId="1714" xr:uid="{7EB9EC7B-6BB8-4199-BD7C-C9FAA458146D}"/>
    <cellStyle name="20% - Accent5 2 8" xfId="2538" xr:uid="{E9AE841C-F2B2-4F43-8D7E-5712D9F2559F}"/>
    <cellStyle name="20% - Accent5 2 9" xfId="3362" xr:uid="{250B8432-EBD2-4D09-B91C-0469120C016F}"/>
    <cellStyle name="20% - Accent5 3" xfId="73" xr:uid="{00000000-0005-0000-0000-00000F010000}"/>
    <cellStyle name="20% - Accent5 3 2" xfId="126" xr:uid="{00000000-0005-0000-0000-000010010000}"/>
    <cellStyle name="20% - Accent5 3 2 2" xfId="231" xr:uid="{00000000-0005-0000-0000-000011010000}"/>
    <cellStyle name="20% - Accent5 3 2 2 2" xfId="440" xr:uid="{00000000-0005-0000-0000-000012010000}"/>
    <cellStyle name="20% - Accent5 3 2 2 2 2" xfId="857" xr:uid="{00000000-0005-0000-0000-000013010000}"/>
    <cellStyle name="20% - Accent5 3 2 2 2 2 2" xfId="1683" xr:uid="{E18287E5-9980-4F8B-B879-AC72FF0A0688}"/>
    <cellStyle name="20% - Accent5 3 2 2 2 2 3" xfId="2511" xr:uid="{8564DBA5-033B-42D4-9048-5EB339A99C31}"/>
    <cellStyle name="20% - Accent5 3 2 2 2 2 4" xfId="3335" xr:uid="{C4344DD7-0E54-417E-ABC5-982B1A69BD66}"/>
    <cellStyle name="20% - Accent5 3 2 2 2 2 5" xfId="4159" xr:uid="{0D3C6C29-ABFB-4E4B-AE99-54F792CA936F}"/>
    <cellStyle name="20% - Accent5 3 2 2 2 3" xfId="1266" xr:uid="{E1888C69-4610-468B-96B8-DC590EA86F4D}"/>
    <cellStyle name="20% - Accent5 3 2 2 2 4" xfId="2094" xr:uid="{134E4758-17AE-4BA0-8A66-CC403E172538}"/>
    <cellStyle name="20% - Accent5 3 2 2 2 5" xfId="2918" xr:uid="{4FF21B54-E23E-46D6-A4E0-E04C1338008B}"/>
    <cellStyle name="20% - Accent5 3 2 2 2 6" xfId="3742" xr:uid="{066AD2C6-7C0E-4C05-8B9F-991968E3BC12}"/>
    <cellStyle name="20% - Accent5 3 2 2 3" xfId="649" xr:uid="{00000000-0005-0000-0000-000014010000}"/>
    <cellStyle name="20% - Accent5 3 2 2 3 2" xfId="1475" xr:uid="{0CD5E780-C32D-4AF3-8FFB-B8269D37537A}"/>
    <cellStyle name="20% - Accent5 3 2 2 3 3" xfId="2303" xr:uid="{8B3B6B09-7846-488D-85DB-6E24BD7CE745}"/>
    <cellStyle name="20% - Accent5 3 2 2 3 4" xfId="3127" xr:uid="{34EE9300-E8D7-4E2D-BB00-5D48C54FD05E}"/>
    <cellStyle name="20% - Accent5 3 2 2 3 5" xfId="3951" xr:uid="{95FB7A11-61A9-4051-B60D-A57323F918C1}"/>
    <cellStyle name="20% - Accent5 3 2 2 4" xfId="1057" xr:uid="{6CD9C84E-D3C5-43E9-BAC3-35A210ACAAEB}"/>
    <cellStyle name="20% - Accent5 3 2 2 5" xfId="1885" xr:uid="{175CF890-99BA-4CEE-96CA-04B40E2B265D}"/>
    <cellStyle name="20% - Accent5 3 2 2 6" xfId="2709" xr:uid="{AC6B542A-BA4C-4CF7-A86A-2584AF88BFE1}"/>
    <cellStyle name="20% - Accent5 3 2 2 7" xfId="3533" xr:uid="{D5E894F8-F36C-4D89-99B8-6015408915BD}"/>
    <cellStyle name="20% - Accent5 3 2 3" xfId="336" xr:uid="{00000000-0005-0000-0000-000015010000}"/>
    <cellStyle name="20% - Accent5 3 2 3 2" xfId="753" xr:uid="{00000000-0005-0000-0000-000016010000}"/>
    <cellStyle name="20% - Accent5 3 2 3 2 2" xfId="1579" xr:uid="{E3404C51-F224-4F72-ADEF-A8F005706C79}"/>
    <cellStyle name="20% - Accent5 3 2 3 2 3" xfId="2407" xr:uid="{15639693-B686-479B-9534-8CC9F55CDD1D}"/>
    <cellStyle name="20% - Accent5 3 2 3 2 4" xfId="3231" xr:uid="{92E4736C-E1C8-4979-8132-01EECE34E90A}"/>
    <cellStyle name="20% - Accent5 3 2 3 2 5" xfId="4055" xr:uid="{73573DA6-4DAC-424C-9F8E-C29EAE57406E}"/>
    <cellStyle name="20% - Accent5 3 2 3 3" xfId="1162" xr:uid="{87539ADB-196B-4409-80F2-4E0B5DE5E8D9}"/>
    <cellStyle name="20% - Accent5 3 2 3 4" xfId="1990" xr:uid="{8F5A962B-9568-4F9E-9219-1ECD51722E4E}"/>
    <cellStyle name="20% - Accent5 3 2 3 5" xfId="2814" xr:uid="{86518DAE-9E4F-462C-BE22-1A0A8AAA6168}"/>
    <cellStyle name="20% - Accent5 3 2 3 6" xfId="3638" xr:uid="{410D40C8-E9BE-4A37-AEF5-876C760E039A}"/>
    <cellStyle name="20% - Accent5 3 2 4" xfId="545" xr:uid="{00000000-0005-0000-0000-000017010000}"/>
    <cellStyle name="20% - Accent5 3 2 4 2" xfId="1371" xr:uid="{E02E0BDF-FC43-4DDD-A28A-5DDA949AF2F0}"/>
    <cellStyle name="20% - Accent5 3 2 4 3" xfId="2199" xr:uid="{E7717F2A-663E-4CD9-8B9A-E787A8B0492E}"/>
    <cellStyle name="20% - Accent5 3 2 4 4" xfId="3023" xr:uid="{697564D2-DE56-4498-90B2-2C04B7044434}"/>
    <cellStyle name="20% - Accent5 3 2 4 5" xfId="3847" xr:uid="{72C80387-FC94-41E8-8C80-BF8EF29A3C2C}"/>
    <cellStyle name="20% - Accent5 3 2 5" xfId="952" xr:uid="{503B693B-66BA-4148-8C9C-0DF7EA577AAB}"/>
    <cellStyle name="20% - Accent5 3 2 6" xfId="1780" xr:uid="{995EED82-0055-43B1-B547-55A15606D2A8}"/>
    <cellStyle name="20% - Accent5 3 2 7" xfId="2604" xr:uid="{07A51449-DAA3-4BA6-83AB-40A750CF2CE7}"/>
    <cellStyle name="20% - Accent5 3 2 8" xfId="3428" xr:uid="{1A461DB2-1F6D-440E-95AC-84D54A2D9412}"/>
    <cellStyle name="20% - Accent5 3 3" xfId="179" xr:uid="{00000000-0005-0000-0000-000018010000}"/>
    <cellStyle name="20% - Accent5 3 3 2" xfId="388" xr:uid="{00000000-0005-0000-0000-000019010000}"/>
    <cellStyle name="20% - Accent5 3 3 2 2" xfId="805" xr:uid="{00000000-0005-0000-0000-00001A010000}"/>
    <cellStyle name="20% - Accent5 3 3 2 2 2" xfId="1631" xr:uid="{94A4CCC8-0E50-474F-89EE-93E8C8C427C6}"/>
    <cellStyle name="20% - Accent5 3 3 2 2 3" xfId="2459" xr:uid="{E40F8E92-E1D9-4C06-850D-0963360DDCF6}"/>
    <cellStyle name="20% - Accent5 3 3 2 2 4" xfId="3283" xr:uid="{0D78DA68-7B1E-4C58-8CF2-E70D337D93BB}"/>
    <cellStyle name="20% - Accent5 3 3 2 2 5" xfId="4107" xr:uid="{13F9A174-ADBE-476E-90ED-F12199DC83EE}"/>
    <cellStyle name="20% - Accent5 3 3 2 3" xfId="1214" xr:uid="{93DC2AAF-BB7B-46D9-8AB0-9C32EF1E0486}"/>
    <cellStyle name="20% - Accent5 3 3 2 4" xfId="2042" xr:uid="{C37223AD-9120-42B2-8029-03AA0AA712A6}"/>
    <cellStyle name="20% - Accent5 3 3 2 5" xfId="2866" xr:uid="{6998D1A7-17D6-4DAC-93D7-060C9E4CAAFC}"/>
    <cellStyle name="20% - Accent5 3 3 2 6" xfId="3690" xr:uid="{68CFD137-62EF-4E38-BA17-8A5C067897BB}"/>
    <cellStyle name="20% - Accent5 3 3 3" xfId="597" xr:uid="{00000000-0005-0000-0000-00001B010000}"/>
    <cellStyle name="20% - Accent5 3 3 3 2" xfId="1423" xr:uid="{87D3155A-BF4F-46E9-8F2C-56F0A9E7E0D0}"/>
    <cellStyle name="20% - Accent5 3 3 3 3" xfId="2251" xr:uid="{6166BD02-B02F-4FC0-A640-81C5D93E02C9}"/>
    <cellStyle name="20% - Accent5 3 3 3 4" xfId="3075" xr:uid="{5F9047AB-EC72-4DB7-B8ED-68B506EDBD0E}"/>
    <cellStyle name="20% - Accent5 3 3 3 5" xfId="3899" xr:uid="{31A15A27-095A-4FD5-A0F3-8275E1DFAA72}"/>
    <cellStyle name="20% - Accent5 3 3 4" xfId="1005" xr:uid="{640FFFCF-C4C6-49E7-B13D-380F89E74378}"/>
    <cellStyle name="20% - Accent5 3 3 5" xfId="1833" xr:uid="{73ADF487-7F69-4787-84DA-F672E19C8F61}"/>
    <cellStyle name="20% - Accent5 3 3 6" xfId="2657" xr:uid="{64E72523-72DF-49F5-BCF2-91438086BA67}"/>
    <cellStyle name="20% - Accent5 3 3 7" xfId="3481" xr:uid="{08B6EB95-63EB-4CA1-AD2A-CC357FFDD719}"/>
    <cellStyle name="20% - Accent5 3 4" xfId="284" xr:uid="{00000000-0005-0000-0000-00001C010000}"/>
    <cellStyle name="20% - Accent5 3 4 2" xfId="701" xr:uid="{00000000-0005-0000-0000-00001D010000}"/>
    <cellStyle name="20% - Accent5 3 4 2 2" xfId="1527" xr:uid="{F237900C-0019-49FC-AA83-EDAF6E414A63}"/>
    <cellStyle name="20% - Accent5 3 4 2 3" xfId="2355" xr:uid="{C4542336-831B-46BD-85A7-1940DB263E89}"/>
    <cellStyle name="20% - Accent5 3 4 2 4" xfId="3179" xr:uid="{2FE49D9C-9D6C-4DFA-844B-0F59F9D0F536}"/>
    <cellStyle name="20% - Accent5 3 4 2 5" xfId="4003" xr:uid="{32550A5B-F3C3-41AA-8027-268B9207C8E7}"/>
    <cellStyle name="20% - Accent5 3 4 3" xfId="1110" xr:uid="{86999ABA-578B-4DBB-810B-7906FB4A0133}"/>
    <cellStyle name="20% - Accent5 3 4 4" xfId="1938" xr:uid="{993BF7DA-5734-428E-AD0E-4A1755869ABD}"/>
    <cellStyle name="20% - Accent5 3 4 5" xfId="2762" xr:uid="{182FBC24-F346-4B40-9532-AC64F6B839D3}"/>
    <cellStyle name="20% - Accent5 3 4 6" xfId="3586" xr:uid="{4856D4F2-4DFD-4C77-BD56-B3459927B864}"/>
    <cellStyle name="20% - Accent5 3 5" xfId="493" xr:uid="{00000000-0005-0000-0000-00001E010000}"/>
    <cellStyle name="20% - Accent5 3 5 2" xfId="1319" xr:uid="{8DFA2E4F-4FBF-4BDB-AAA2-41D100406BC3}"/>
    <cellStyle name="20% - Accent5 3 5 3" xfId="2147" xr:uid="{FE40E540-AF08-42C6-B584-1802FF9C041F}"/>
    <cellStyle name="20% - Accent5 3 5 4" xfId="2971" xr:uid="{61DC5AA1-D471-4396-8ABE-7682FFA9AE73}"/>
    <cellStyle name="20% - Accent5 3 5 5" xfId="3795" xr:uid="{F236F330-7A14-4F96-ABD1-433EE600A9AB}"/>
    <cellStyle name="20% - Accent5 3 6" xfId="899" xr:uid="{4DBCB792-CAE9-4208-8688-5928B27F84E0}"/>
    <cellStyle name="20% - Accent5 3 7" xfId="1727" xr:uid="{6EB5C4CF-FA2A-4A9F-8433-D5D7443F47D2}"/>
    <cellStyle name="20% - Accent5 3 8" xfId="2551" xr:uid="{AB379CB1-5CFD-4F39-AA08-A92C3518DD94}"/>
    <cellStyle name="20% - Accent5 3 9" xfId="3375" xr:uid="{E9E5821F-86FF-4669-B0CA-762B839ECE0E}"/>
    <cellStyle name="20% - Accent5 4" xfId="86" xr:uid="{00000000-0005-0000-0000-00001F010000}"/>
    <cellStyle name="20% - Accent5 4 2" xfId="192" xr:uid="{00000000-0005-0000-0000-000020010000}"/>
    <cellStyle name="20% - Accent5 4 2 2" xfId="401" xr:uid="{00000000-0005-0000-0000-000021010000}"/>
    <cellStyle name="20% - Accent5 4 2 2 2" xfId="818" xr:uid="{00000000-0005-0000-0000-000022010000}"/>
    <cellStyle name="20% - Accent5 4 2 2 2 2" xfId="1644" xr:uid="{DAB0D478-D079-4F81-AD9D-48D59F46A2C7}"/>
    <cellStyle name="20% - Accent5 4 2 2 2 3" xfId="2472" xr:uid="{EA7A2279-7923-4D27-A90E-4BB4826759F9}"/>
    <cellStyle name="20% - Accent5 4 2 2 2 4" xfId="3296" xr:uid="{2EC0EEC3-C8EF-461D-AD9E-150A38D3A185}"/>
    <cellStyle name="20% - Accent5 4 2 2 2 5" xfId="4120" xr:uid="{A6C868C3-3901-463C-A772-0A1438380696}"/>
    <cellStyle name="20% - Accent5 4 2 2 3" xfId="1227" xr:uid="{B785094E-94AA-4FB3-B8C0-27288F97F512}"/>
    <cellStyle name="20% - Accent5 4 2 2 4" xfId="2055" xr:uid="{05E41B8E-1B8E-48CF-8944-7A306596D69F}"/>
    <cellStyle name="20% - Accent5 4 2 2 5" xfId="2879" xr:uid="{BE62C8F3-6C9C-41C6-A7A4-8D0D9C68EE08}"/>
    <cellStyle name="20% - Accent5 4 2 2 6" xfId="3703" xr:uid="{A1E1CD67-E4BA-4773-98FB-F2EE5C649369}"/>
    <cellStyle name="20% - Accent5 4 2 3" xfId="610" xr:uid="{00000000-0005-0000-0000-000023010000}"/>
    <cellStyle name="20% - Accent5 4 2 3 2" xfId="1436" xr:uid="{6048F402-71E2-4032-B24A-73995A9AB72F}"/>
    <cellStyle name="20% - Accent5 4 2 3 3" xfId="2264" xr:uid="{36BD9A75-3280-433B-8996-78EF875B4D8A}"/>
    <cellStyle name="20% - Accent5 4 2 3 4" xfId="3088" xr:uid="{5F0AA545-7D47-4F6D-86F2-19375A236742}"/>
    <cellStyle name="20% - Accent5 4 2 3 5" xfId="3912" xr:uid="{3770A04B-795D-4555-A16B-3D7D655CF98D}"/>
    <cellStyle name="20% - Accent5 4 2 4" xfId="1018" xr:uid="{58EB4B17-7C35-4D92-9818-C9FB970D8F87}"/>
    <cellStyle name="20% - Accent5 4 2 5" xfId="1846" xr:uid="{1021F653-20D2-47F7-9307-3413330379C8}"/>
    <cellStyle name="20% - Accent5 4 2 6" xfId="2670" xr:uid="{6A5D4D91-1FA8-43CB-A5D9-1DA3EA1DEA72}"/>
    <cellStyle name="20% - Accent5 4 2 7" xfId="3494" xr:uid="{65281CDF-8D63-4A00-B5ED-114FA70A806C}"/>
    <cellStyle name="20% - Accent5 4 3" xfId="297" xr:uid="{00000000-0005-0000-0000-000024010000}"/>
    <cellStyle name="20% - Accent5 4 3 2" xfId="714" xr:uid="{00000000-0005-0000-0000-000025010000}"/>
    <cellStyle name="20% - Accent5 4 3 2 2" xfId="1540" xr:uid="{9E448604-36F5-457E-B48E-568DC6FC3A09}"/>
    <cellStyle name="20% - Accent5 4 3 2 3" xfId="2368" xr:uid="{7D1762A1-1794-49D5-A28E-FE47CD72E04B}"/>
    <cellStyle name="20% - Accent5 4 3 2 4" xfId="3192" xr:uid="{2D692CB0-7C57-4715-948F-792C96F7EEE2}"/>
    <cellStyle name="20% - Accent5 4 3 2 5" xfId="4016" xr:uid="{359F17BE-7E29-4BFF-8C14-EB2A6E5964A7}"/>
    <cellStyle name="20% - Accent5 4 3 3" xfId="1123" xr:uid="{15ED1F35-3E8C-4049-872A-49FF72678C2B}"/>
    <cellStyle name="20% - Accent5 4 3 4" xfId="1951" xr:uid="{55C79DA9-AACC-4730-B790-D065FFF991B1}"/>
    <cellStyle name="20% - Accent5 4 3 5" xfId="2775" xr:uid="{33496A81-DA7C-4004-978C-88736D4E9D21}"/>
    <cellStyle name="20% - Accent5 4 3 6" xfId="3599" xr:uid="{16950BF0-55B3-4C00-9180-A4D9FB80806A}"/>
    <cellStyle name="20% - Accent5 4 4" xfId="506" xr:uid="{00000000-0005-0000-0000-000026010000}"/>
    <cellStyle name="20% - Accent5 4 4 2" xfId="1332" xr:uid="{565AF08A-560C-45FB-A30C-F0FAD8CD9B06}"/>
    <cellStyle name="20% - Accent5 4 4 3" xfId="2160" xr:uid="{BE1F9C27-2BCA-4C23-B439-60A5AE8F9933}"/>
    <cellStyle name="20% - Accent5 4 4 4" xfId="2984" xr:uid="{07F1BA3C-E2C8-4EB1-9AFD-2CA605EA75E1}"/>
    <cellStyle name="20% - Accent5 4 4 5" xfId="3808" xr:uid="{553ACE7B-8E77-477F-AA0F-5C70D45FA944}"/>
    <cellStyle name="20% - Accent5 4 5" xfId="912" xr:uid="{8767F55F-FAB6-4574-BA10-9303136791D7}"/>
    <cellStyle name="20% - Accent5 4 6" xfId="1740" xr:uid="{397828B1-DF0E-41D2-8B37-DCA822C36D4D}"/>
    <cellStyle name="20% - Accent5 4 7" xfId="2564" xr:uid="{5FC46467-0D5C-4093-B847-9004453D5DC2}"/>
    <cellStyle name="20% - Accent5 4 8" xfId="3388" xr:uid="{405782EA-8ED7-47FB-B8DE-E9D76ACAC5F7}"/>
    <cellStyle name="20% - Accent5 5" xfId="99" xr:uid="{00000000-0005-0000-0000-000027010000}"/>
    <cellStyle name="20% - Accent5 5 2" xfId="204" xr:uid="{00000000-0005-0000-0000-000028010000}"/>
    <cellStyle name="20% - Accent5 5 2 2" xfId="413" xr:uid="{00000000-0005-0000-0000-000029010000}"/>
    <cellStyle name="20% - Accent5 5 2 2 2" xfId="830" xr:uid="{00000000-0005-0000-0000-00002A010000}"/>
    <cellStyle name="20% - Accent5 5 2 2 2 2" xfId="1656" xr:uid="{E29BC9FB-E79A-4DD1-A3EE-4FC7BD58A7CB}"/>
    <cellStyle name="20% - Accent5 5 2 2 2 3" xfId="2484" xr:uid="{28791366-3E5D-498E-B93B-FCC595BCDB10}"/>
    <cellStyle name="20% - Accent5 5 2 2 2 4" xfId="3308" xr:uid="{6F11C520-01C6-4070-9358-E8BB2AC456D6}"/>
    <cellStyle name="20% - Accent5 5 2 2 2 5" xfId="4132" xr:uid="{2EE10321-81C6-421D-849A-923F4BF185ED}"/>
    <cellStyle name="20% - Accent5 5 2 2 3" xfId="1239" xr:uid="{0BC546A3-B355-4578-96A0-A3EF336EB939}"/>
    <cellStyle name="20% - Accent5 5 2 2 4" xfId="2067" xr:uid="{C82B1C3B-3E54-4D6D-8F71-A44C9B863FA3}"/>
    <cellStyle name="20% - Accent5 5 2 2 5" xfId="2891" xr:uid="{028A0785-FE26-4D05-BFE7-886756AA8172}"/>
    <cellStyle name="20% - Accent5 5 2 2 6" xfId="3715" xr:uid="{1F0F62B6-96C0-41E9-BEF5-DEC538D9ADD3}"/>
    <cellStyle name="20% - Accent5 5 2 3" xfId="622" xr:uid="{00000000-0005-0000-0000-00002B010000}"/>
    <cellStyle name="20% - Accent5 5 2 3 2" xfId="1448" xr:uid="{9568A455-E3BD-4119-97EF-175E5F30AED8}"/>
    <cellStyle name="20% - Accent5 5 2 3 3" xfId="2276" xr:uid="{18579500-3B8B-484A-8C38-F6B9F90D3B80}"/>
    <cellStyle name="20% - Accent5 5 2 3 4" xfId="3100" xr:uid="{F05B4F75-5090-412F-9DB7-D6F380EB8852}"/>
    <cellStyle name="20% - Accent5 5 2 3 5" xfId="3924" xr:uid="{7A2C077B-70B0-47DC-8FBA-4DEA52F1BA65}"/>
    <cellStyle name="20% - Accent5 5 2 4" xfId="1030" xr:uid="{B50DB915-1D54-45D1-83D9-60743E232F35}"/>
    <cellStyle name="20% - Accent5 5 2 5" xfId="1858" xr:uid="{83F37AD3-B992-4B21-99C0-EC8881A94F5D}"/>
    <cellStyle name="20% - Accent5 5 2 6" xfId="2682" xr:uid="{AF8C8D70-7791-470F-AAE8-001339C00278}"/>
    <cellStyle name="20% - Accent5 5 2 7" xfId="3506" xr:uid="{A43291C3-CEEE-42FB-AD28-34022A368ED5}"/>
    <cellStyle name="20% - Accent5 5 3" xfId="309" xr:uid="{00000000-0005-0000-0000-00002C010000}"/>
    <cellStyle name="20% - Accent5 5 3 2" xfId="726" xr:uid="{00000000-0005-0000-0000-00002D010000}"/>
    <cellStyle name="20% - Accent5 5 3 2 2" xfId="1552" xr:uid="{FE47A547-A2D0-4CCE-81D5-B0A2145FBEA6}"/>
    <cellStyle name="20% - Accent5 5 3 2 3" xfId="2380" xr:uid="{0D6E55E2-6FE6-49C9-BE6E-91A5CCFBEE83}"/>
    <cellStyle name="20% - Accent5 5 3 2 4" xfId="3204" xr:uid="{EA11022C-BCC0-46DE-819A-98205D762CF7}"/>
    <cellStyle name="20% - Accent5 5 3 2 5" xfId="4028" xr:uid="{D4A5015D-6A9F-475B-9F4C-B9B0D2DF3A1E}"/>
    <cellStyle name="20% - Accent5 5 3 3" xfId="1135" xr:uid="{4B5282F9-D46E-44C5-B2E9-1CBD06264011}"/>
    <cellStyle name="20% - Accent5 5 3 4" xfId="1963" xr:uid="{F5B3CC4F-8FC9-4E63-87F2-333B02D89184}"/>
    <cellStyle name="20% - Accent5 5 3 5" xfId="2787" xr:uid="{514F3503-C700-407F-808E-D5B3B2311C87}"/>
    <cellStyle name="20% - Accent5 5 3 6" xfId="3611" xr:uid="{A7D4F507-C7A3-4E9A-9F71-0EA5E9BAC8BF}"/>
    <cellStyle name="20% - Accent5 5 4" xfId="518" xr:uid="{00000000-0005-0000-0000-00002E010000}"/>
    <cellStyle name="20% - Accent5 5 4 2" xfId="1344" xr:uid="{1A59F3DF-E07A-4CCE-8B4D-A415C9E626CD}"/>
    <cellStyle name="20% - Accent5 5 4 3" xfId="2172" xr:uid="{B7015A55-FE88-4737-A68D-78C3869FD0BE}"/>
    <cellStyle name="20% - Accent5 5 4 4" xfId="2996" xr:uid="{4629A3A1-3E26-4C73-A94E-A3ADF6DB30F6}"/>
    <cellStyle name="20% - Accent5 5 4 5" xfId="3820" xr:uid="{E5BD1ACA-98A4-49A9-9F8B-9AD3832957E5}"/>
    <cellStyle name="20% - Accent5 5 5" xfId="925" xr:uid="{AE4F2E7A-CD17-4F39-94E0-8E0910C9929F}"/>
    <cellStyle name="20% - Accent5 5 6" xfId="1753" xr:uid="{16264F2C-91F7-452A-863A-FBC6F51711BE}"/>
    <cellStyle name="20% - Accent5 5 7" xfId="2577" xr:uid="{DD2B2309-A85A-4C14-A282-08E40A486A28}"/>
    <cellStyle name="20% - Accent5 5 8" xfId="3401" xr:uid="{189BA834-F08C-40E2-95D7-0009F181AAB5}"/>
    <cellStyle name="20% - Accent5 6" xfId="139" xr:uid="{00000000-0005-0000-0000-00002F010000}"/>
    <cellStyle name="20% - Accent5 6 2" xfId="349" xr:uid="{00000000-0005-0000-0000-000030010000}"/>
    <cellStyle name="20% - Accent5 6 2 2" xfId="766" xr:uid="{00000000-0005-0000-0000-000031010000}"/>
    <cellStyle name="20% - Accent5 6 2 2 2" xfId="1592" xr:uid="{06331A04-876D-41B9-B657-21DB1B5B34F0}"/>
    <cellStyle name="20% - Accent5 6 2 2 3" xfId="2420" xr:uid="{10693443-B4D5-439B-9E8B-53389529A2D8}"/>
    <cellStyle name="20% - Accent5 6 2 2 4" xfId="3244" xr:uid="{A1D53E75-AEE4-4D5F-8BE6-081B0F36CCEC}"/>
    <cellStyle name="20% - Accent5 6 2 2 5" xfId="4068" xr:uid="{C2A12399-925C-41CF-B760-9C346E888C6A}"/>
    <cellStyle name="20% - Accent5 6 2 3" xfId="1175" xr:uid="{3030B019-AA64-4742-A634-76E4EFD78C2A}"/>
    <cellStyle name="20% - Accent5 6 2 4" xfId="2003" xr:uid="{FDD515AB-F618-4C23-B39C-2F9C526E2742}"/>
    <cellStyle name="20% - Accent5 6 2 5" xfId="2827" xr:uid="{9AA0EE94-3991-4D3F-9818-E9DF08EEE1FA}"/>
    <cellStyle name="20% - Accent5 6 2 6" xfId="3651" xr:uid="{F946562E-57A9-49E8-859E-6E6EE2E5807A}"/>
    <cellStyle name="20% - Accent5 6 3" xfId="558" xr:uid="{00000000-0005-0000-0000-000032010000}"/>
    <cellStyle name="20% - Accent5 6 3 2" xfId="1384" xr:uid="{47E38B4B-426B-4F12-B9D1-F86DDE4A47FD}"/>
    <cellStyle name="20% - Accent5 6 3 3" xfId="2212" xr:uid="{6EF96BAD-2772-4ACD-9005-E5BC14F904F8}"/>
    <cellStyle name="20% - Accent5 6 3 4" xfId="3036" xr:uid="{70B2B267-49F3-49AD-898F-1966B092B4FF}"/>
    <cellStyle name="20% - Accent5 6 3 5" xfId="3860" xr:uid="{C747F32C-0F2B-4464-BF78-B0F712C82293}"/>
    <cellStyle name="20% - Accent5 6 4" xfId="965" xr:uid="{32E522F7-84A8-45C0-87CD-8A2D1BC29FB2}"/>
    <cellStyle name="20% - Accent5 6 5" xfId="1793" xr:uid="{A9B90849-D990-455C-A9BB-E2D147F7988E}"/>
    <cellStyle name="20% - Accent5 6 6" xfId="2617" xr:uid="{9226BCC8-713A-4F1F-A295-B84D62D16D45}"/>
    <cellStyle name="20% - Accent5 6 7" xfId="3441" xr:uid="{95F4F71F-D263-43A1-B109-32651BBDF24D}"/>
    <cellStyle name="20% - Accent5 7" xfId="152" xr:uid="{00000000-0005-0000-0000-000033010000}"/>
    <cellStyle name="20% - Accent5 7 2" xfId="361" xr:uid="{00000000-0005-0000-0000-000034010000}"/>
    <cellStyle name="20% - Accent5 7 2 2" xfId="778" xr:uid="{00000000-0005-0000-0000-000035010000}"/>
    <cellStyle name="20% - Accent5 7 2 2 2" xfId="1604" xr:uid="{3FA8B491-BE38-4866-A68F-C5DFC5576531}"/>
    <cellStyle name="20% - Accent5 7 2 2 3" xfId="2432" xr:uid="{EEF7ED44-116F-4716-9ABB-AA70AE8415AE}"/>
    <cellStyle name="20% - Accent5 7 2 2 4" xfId="3256" xr:uid="{AABE3DCF-FF3B-4205-9F09-062ADFA502DA}"/>
    <cellStyle name="20% - Accent5 7 2 2 5" xfId="4080" xr:uid="{77171953-FA8D-4918-B43E-120FAAD53DC9}"/>
    <cellStyle name="20% - Accent5 7 2 3" xfId="1187" xr:uid="{15EB3705-B7F1-4A6E-8E80-506161289499}"/>
    <cellStyle name="20% - Accent5 7 2 4" xfId="2015" xr:uid="{3554D439-49A6-41A7-B19B-3936BBAFBE93}"/>
    <cellStyle name="20% - Accent5 7 2 5" xfId="2839" xr:uid="{FB61BC62-A2AB-403C-AD5D-9AD03762C8B2}"/>
    <cellStyle name="20% - Accent5 7 2 6" xfId="3663" xr:uid="{5FE61560-760B-42C6-8A5E-CB378C08BC6B}"/>
    <cellStyle name="20% - Accent5 7 3" xfId="570" xr:uid="{00000000-0005-0000-0000-000036010000}"/>
    <cellStyle name="20% - Accent5 7 3 2" xfId="1396" xr:uid="{CEA0B9F8-9611-403C-91A4-FC5365618415}"/>
    <cellStyle name="20% - Accent5 7 3 3" xfId="2224" xr:uid="{CA5B5F02-27D0-4CFB-88D1-4034E5466D27}"/>
    <cellStyle name="20% - Accent5 7 3 4" xfId="3048" xr:uid="{9277403D-CD7E-47A5-9FE3-E0311066703A}"/>
    <cellStyle name="20% - Accent5 7 3 5" xfId="3872" xr:uid="{D619E534-CEDD-411D-BCF1-6B4018FB041F}"/>
    <cellStyle name="20% - Accent5 7 4" xfId="978" xr:uid="{2F550B99-FB5C-4850-A086-565F59027783}"/>
    <cellStyle name="20% - Accent5 7 5" xfId="1806" xr:uid="{B2D3D588-436A-4D49-8151-AA1B4CC0C1AD}"/>
    <cellStyle name="20% - Accent5 7 6" xfId="2630" xr:uid="{6AA1689A-634D-41F3-949D-591621FEE9B7}"/>
    <cellStyle name="20% - Accent5 7 7" xfId="3454" xr:uid="{983AE106-DBAE-4E1D-8CE0-C34E46DE3905}"/>
    <cellStyle name="20% - Accent5 8" xfId="244" xr:uid="{00000000-0005-0000-0000-000037010000}"/>
    <cellStyle name="20% - Accent5 8 2" xfId="662" xr:uid="{00000000-0005-0000-0000-000038010000}"/>
    <cellStyle name="20% - Accent5 8 2 2" xfId="1488" xr:uid="{9BF37705-1A3A-4ACD-9EDA-32A0312F38E7}"/>
    <cellStyle name="20% - Accent5 8 2 3" xfId="2316" xr:uid="{B9B8A099-67B7-4B15-B13D-95373A89983C}"/>
    <cellStyle name="20% - Accent5 8 2 4" xfId="3140" xr:uid="{CCA50F39-148D-4BD3-9CD5-78A649DAC5D8}"/>
    <cellStyle name="20% - Accent5 8 2 5" xfId="3964" xr:uid="{487D4E2D-BF2C-4153-BF91-100EBD1FF5F1}"/>
    <cellStyle name="20% - Accent5 8 3" xfId="1070" xr:uid="{EA4AA32E-4120-4BAF-B287-17E8C59DE3B1}"/>
    <cellStyle name="20% - Accent5 8 4" xfId="1898" xr:uid="{08E8B6CA-372E-40D1-9D1A-DE65A3F8F077}"/>
    <cellStyle name="20% - Accent5 8 5" xfId="2722" xr:uid="{6496CA29-5B30-42A4-9DF4-B6465BE7FCCB}"/>
    <cellStyle name="20% - Accent5 8 6" xfId="3546" xr:uid="{3543BA08-F97E-481F-9427-FE2B0266EC3E}"/>
    <cellStyle name="20% - Accent5 9" xfId="257" xr:uid="{00000000-0005-0000-0000-000039010000}"/>
    <cellStyle name="20% - Accent5 9 2" xfId="674" xr:uid="{00000000-0005-0000-0000-00003A010000}"/>
    <cellStyle name="20% - Accent5 9 2 2" xfId="1500" xr:uid="{4505ECAF-D40C-463A-B6D4-8D66779D2CD9}"/>
    <cellStyle name="20% - Accent5 9 2 3" xfId="2328" xr:uid="{67855C56-D859-4ABF-B4C1-7AD43F21E87F}"/>
    <cellStyle name="20% - Accent5 9 2 4" xfId="3152" xr:uid="{52A2D562-47AC-4E1B-A56F-97A074DAC113}"/>
    <cellStyle name="20% - Accent5 9 2 5" xfId="3976" xr:uid="{EEA43002-87CF-49CA-8B98-D7C25C81B99D}"/>
    <cellStyle name="20% - Accent5 9 3" xfId="1083" xr:uid="{6B7DDAC7-5DEE-4A37-BD72-024AA51D1594}"/>
    <cellStyle name="20% - Accent5 9 4" xfId="1911" xr:uid="{B2ED98DE-98D0-4319-BFF2-7055F81672F3}"/>
    <cellStyle name="20% - Accent5 9 5" xfId="2735" xr:uid="{36842521-FC06-4D3D-BA3E-6B6425FEEF08}"/>
    <cellStyle name="20% - Accent5 9 6" xfId="3559" xr:uid="{2DA685A5-2A52-4212-A522-B01A2C463819}"/>
    <cellStyle name="20% - Accent6" xfId="38" builtinId="50" customBuiltin="1"/>
    <cellStyle name="20% - Accent6 10" xfId="455" xr:uid="{00000000-0005-0000-0000-00003C010000}"/>
    <cellStyle name="20% - Accent6 10 2" xfId="1281" xr:uid="{A4737DFD-265B-4CF8-ABA3-2CB8655A4978}"/>
    <cellStyle name="20% - Accent6 10 3" xfId="2109" xr:uid="{A8638245-939D-408F-8F67-8FF0E833F6C9}"/>
    <cellStyle name="20% - Accent6 10 4" xfId="2933" xr:uid="{A5163210-E81A-45CC-9FAE-DC311C0A13A6}"/>
    <cellStyle name="20% - Accent6 10 5" xfId="3757" xr:uid="{CC7C40CC-D21F-4537-A504-83125DA1CA69}"/>
    <cellStyle name="20% - Accent6 11" xfId="468" xr:uid="{00000000-0005-0000-0000-00003D010000}"/>
    <cellStyle name="20% - Accent6 11 2" xfId="1294" xr:uid="{E0C8463C-3CEB-4304-A0BC-083B7B6ADB46}"/>
    <cellStyle name="20% - Accent6 11 3" xfId="2122" xr:uid="{06D914BE-CD49-435D-9D67-939A2140F6FB}"/>
    <cellStyle name="20% - Accent6 11 4" xfId="2946" xr:uid="{9D9780A7-C6FE-45DF-AF16-B266B3409772}"/>
    <cellStyle name="20% - Accent6 11 5" xfId="3770" xr:uid="{75AF62F6-2A6E-4940-921F-304877EAFAC6}"/>
    <cellStyle name="20% - Accent6 12" xfId="873" xr:uid="{0254539A-E0DB-44BD-B163-B935EF4A68B5}"/>
    <cellStyle name="20% - Accent6 13" xfId="1702" xr:uid="{C5D71F73-8DC7-4E6F-B28D-71D349B9AC5A}"/>
    <cellStyle name="20% - Accent6 14" xfId="2526" xr:uid="{7FE463B5-8078-4449-B8ED-D594566683C2}"/>
    <cellStyle name="20% - Accent6 15" xfId="3350" xr:uid="{4364DC1B-8369-4F9F-831F-0C47A0EEB917}"/>
    <cellStyle name="20% - Accent6 2" xfId="62" xr:uid="{00000000-0005-0000-0000-00003E010000}"/>
    <cellStyle name="20% - Accent6 2 2" xfId="115" xr:uid="{00000000-0005-0000-0000-00003F010000}"/>
    <cellStyle name="20% - Accent6 2 2 2" xfId="220" xr:uid="{00000000-0005-0000-0000-000040010000}"/>
    <cellStyle name="20% - Accent6 2 2 2 2" xfId="429" xr:uid="{00000000-0005-0000-0000-000041010000}"/>
    <cellStyle name="20% - Accent6 2 2 2 2 2" xfId="846" xr:uid="{00000000-0005-0000-0000-000042010000}"/>
    <cellStyle name="20% - Accent6 2 2 2 2 2 2" xfId="1672" xr:uid="{2865E865-FB34-40D2-9953-6BB027156BF2}"/>
    <cellStyle name="20% - Accent6 2 2 2 2 2 3" xfId="2500" xr:uid="{333E2E49-ACB2-4289-BABD-49DE2471DDEA}"/>
    <cellStyle name="20% - Accent6 2 2 2 2 2 4" xfId="3324" xr:uid="{48980106-C956-4503-8121-31BBDD07470E}"/>
    <cellStyle name="20% - Accent6 2 2 2 2 2 5" xfId="4148" xr:uid="{2C15E8CA-4F86-49EE-88E6-A43009196798}"/>
    <cellStyle name="20% - Accent6 2 2 2 2 3" xfId="1255" xr:uid="{4C23D709-B898-47A5-8517-F99C8B2454B1}"/>
    <cellStyle name="20% - Accent6 2 2 2 2 4" xfId="2083" xr:uid="{22474ADC-5A88-4681-96BF-427A22CC02DA}"/>
    <cellStyle name="20% - Accent6 2 2 2 2 5" xfId="2907" xr:uid="{D7D44AE5-F55F-45E1-84A4-FE96E0821597}"/>
    <cellStyle name="20% - Accent6 2 2 2 2 6" xfId="3731" xr:uid="{4DB5FCA9-41C1-4F5C-8A8D-C17B9CF6365C}"/>
    <cellStyle name="20% - Accent6 2 2 2 3" xfId="638" xr:uid="{00000000-0005-0000-0000-000043010000}"/>
    <cellStyle name="20% - Accent6 2 2 2 3 2" xfId="1464" xr:uid="{26ED38E2-B73D-4623-8117-2B0662B14863}"/>
    <cellStyle name="20% - Accent6 2 2 2 3 3" xfId="2292" xr:uid="{34343FFE-3F3D-476B-A316-86D85BE4F49A}"/>
    <cellStyle name="20% - Accent6 2 2 2 3 4" xfId="3116" xr:uid="{42850A02-F374-4B26-8A45-09DC0F9DDFAE}"/>
    <cellStyle name="20% - Accent6 2 2 2 3 5" xfId="3940" xr:uid="{26EAE54C-49AB-4413-B5C7-C17A59B57F76}"/>
    <cellStyle name="20% - Accent6 2 2 2 4" xfId="1046" xr:uid="{4211EC21-524F-4A3D-AB11-53E701751A37}"/>
    <cellStyle name="20% - Accent6 2 2 2 5" xfId="1874" xr:uid="{107141F7-D03F-4D2F-87BF-0933B4235707}"/>
    <cellStyle name="20% - Accent6 2 2 2 6" xfId="2698" xr:uid="{A5994450-A700-41C0-B935-835A138BB039}"/>
    <cellStyle name="20% - Accent6 2 2 2 7" xfId="3522" xr:uid="{EEBB96EE-D5AB-42B8-AE58-8135ED7702B9}"/>
    <cellStyle name="20% - Accent6 2 2 3" xfId="325" xr:uid="{00000000-0005-0000-0000-000044010000}"/>
    <cellStyle name="20% - Accent6 2 2 3 2" xfId="742" xr:uid="{00000000-0005-0000-0000-000045010000}"/>
    <cellStyle name="20% - Accent6 2 2 3 2 2" xfId="1568" xr:uid="{5396F4BC-F1CA-48F5-A8DE-DBD70E213838}"/>
    <cellStyle name="20% - Accent6 2 2 3 2 3" xfId="2396" xr:uid="{9FECEADB-417E-4E70-9B5E-00B208CF9309}"/>
    <cellStyle name="20% - Accent6 2 2 3 2 4" xfId="3220" xr:uid="{5A2C295D-58F6-4955-8A6F-7B5E03C7EED3}"/>
    <cellStyle name="20% - Accent6 2 2 3 2 5" xfId="4044" xr:uid="{EA4A75DB-808B-4956-9DFF-C8DCEF19AB92}"/>
    <cellStyle name="20% - Accent6 2 2 3 3" xfId="1151" xr:uid="{3BD0BA81-33AD-4CCC-A4F9-BD3881FD7062}"/>
    <cellStyle name="20% - Accent6 2 2 3 4" xfId="1979" xr:uid="{A8510488-542F-41B0-9558-D5617A830B09}"/>
    <cellStyle name="20% - Accent6 2 2 3 5" xfId="2803" xr:uid="{CCB6FAB4-1866-4275-813D-F38512C9A651}"/>
    <cellStyle name="20% - Accent6 2 2 3 6" xfId="3627" xr:uid="{3B10F866-4964-4984-BF6A-521F3E05D7AD}"/>
    <cellStyle name="20% - Accent6 2 2 4" xfId="534" xr:uid="{00000000-0005-0000-0000-000046010000}"/>
    <cellStyle name="20% - Accent6 2 2 4 2" xfId="1360" xr:uid="{C43A6E60-86AF-461B-A94F-E8BB124D8DA5}"/>
    <cellStyle name="20% - Accent6 2 2 4 3" xfId="2188" xr:uid="{66362707-C82E-471F-9C51-6C97523CB53D}"/>
    <cellStyle name="20% - Accent6 2 2 4 4" xfId="3012" xr:uid="{8670E735-2F6B-4137-AD82-E0C8D77B3B15}"/>
    <cellStyle name="20% - Accent6 2 2 4 5" xfId="3836" xr:uid="{4C98337D-82A4-4866-99A4-F371D6B95561}"/>
    <cellStyle name="20% - Accent6 2 2 5" xfId="941" xr:uid="{D19E0BBA-0C88-4C7E-A46D-8BB7E3648FD5}"/>
    <cellStyle name="20% - Accent6 2 2 6" xfId="1769" xr:uid="{A016FD26-DC14-4B6D-98D4-FFDDEECF345E}"/>
    <cellStyle name="20% - Accent6 2 2 7" xfId="2593" xr:uid="{65D3C977-1D7D-43E7-BA08-E58ABE3BAC91}"/>
    <cellStyle name="20% - Accent6 2 2 8" xfId="3417" xr:uid="{241680A0-F276-4569-941D-4C804DACE318}"/>
    <cellStyle name="20% - Accent6 2 3" xfId="168" xr:uid="{00000000-0005-0000-0000-000047010000}"/>
    <cellStyle name="20% - Accent6 2 3 2" xfId="377" xr:uid="{00000000-0005-0000-0000-000048010000}"/>
    <cellStyle name="20% - Accent6 2 3 2 2" xfId="794" xr:uid="{00000000-0005-0000-0000-000049010000}"/>
    <cellStyle name="20% - Accent6 2 3 2 2 2" xfId="1620" xr:uid="{7C23BF98-3567-4B89-80C9-1EDA1E02CDDB}"/>
    <cellStyle name="20% - Accent6 2 3 2 2 3" xfId="2448" xr:uid="{94B854B4-51CD-47BC-A52D-C0D1059EB325}"/>
    <cellStyle name="20% - Accent6 2 3 2 2 4" xfId="3272" xr:uid="{2A738B80-EF0F-4CAB-8E15-5C3602A2F4DC}"/>
    <cellStyle name="20% - Accent6 2 3 2 2 5" xfId="4096" xr:uid="{F37B660C-D251-44C4-A96D-CA4B6863C56B}"/>
    <cellStyle name="20% - Accent6 2 3 2 3" xfId="1203" xr:uid="{73C8BF60-A083-45F3-8F59-82182A25BD99}"/>
    <cellStyle name="20% - Accent6 2 3 2 4" xfId="2031" xr:uid="{A93D81B8-F180-46BF-B59A-22269CA2FABD}"/>
    <cellStyle name="20% - Accent6 2 3 2 5" xfId="2855" xr:uid="{35581562-6172-4C0F-B5BF-12B4163DACA0}"/>
    <cellStyle name="20% - Accent6 2 3 2 6" xfId="3679" xr:uid="{8E52FFE5-EB7F-47BE-81B7-4499E84F2225}"/>
    <cellStyle name="20% - Accent6 2 3 3" xfId="586" xr:uid="{00000000-0005-0000-0000-00004A010000}"/>
    <cellStyle name="20% - Accent6 2 3 3 2" xfId="1412" xr:uid="{B67D50A0-6A1B-4465-9F53-3D9190E8679B}"/>
    <cellStyle name="20% - Accent6 2 3 3 3" xfId="2240" xr:uid="{131D2FF8-609C-424A-B46B-863A3CCE7DA3}"/>
    <cellStyle name="20% - Accent6 2 3 3 4" xfId="3064" xr:uid="{9BC565F3-24E4-41B6-929D-B3529A90D7F3}"/>
    <cellStyle name="20% - Accent6 2 3 3 5" xfId="3888" xr:uid="{4539625C-B544-46FE-9D75-6014B6B47BF8}"/>
    <cellStyle name="20% - Accent6 2 3 4" xfId="994" xr:uid="{58355826-166C-4C80-971D-5F29C972C6DD}"/>
    <cellStyle name="20% - Accent6 2 3 5" xfId="1822" xr:uid="{0CDAFCBD-C7D5-462C-B99A-88B749F114AC}"/>
    <cellStyle name="20% - Accent6 2 3 6" xfId="2646" xr:uid="{22B6E670-AEC7-4965-820E-4E32E6859185}"/>
    <cellStyle name="20% - Accent6 2 3 7" xfId="3470" xr:uid="{B2A102D2-DC6B-4D63-A30C-EDBBCF55C2FF}"/>
    <cellStyle name="20% - Accent6 2 4" xfId="273" xr:uid="{00000000-0005-0000-0000-00004B010000}"/>
    <cellStyle name="20% - Accent6 2 4 2" xfId="690" xr:uid="{00000000-0005-0000-0000-00004C010000}"/>
    <cellStyle name="20% - Accent6 2 4 2 2" xfId="1516" xr:uid="{978BE5D2-0A27-4F8B-875E-69C3B8300A21}"/>
    <cellStyle name="20% - Accent6 2 4 2 3" xfId="2344" xr:uid="{E9A07F54-5094-4777-BEB7-C7C149D4F210}"/>
    <cellStyle name="20% - Accent6 2 4 2 4" xfId="3168" xr:uid="{D9C017E5-9FC9-4BD5-94DF-382346B3A4FC}"/>
    <cellStyle name="20% - Accent6 2 4 2 5" xfId="3992" xr:uid="{07F84267-BBEF-4063-8D8E-257D69788477}"/>
    <cellStyle name="20% - Accent6 2 4 3" xfId="1099" xr:uid="{F31A8055-2C34-4B02-BAB4-45C2981926AC}"/>
    <cellStyle name="20% - Accent6 2 4 4" xfId="1927" xr:uid="{9799F10F-035F-4430-A491-631032D98C83}"/>
    <cellStyle name="20% - Accent6 2 4 5" xfId="2751" xr:uid="{E1525AC6-DE66-4FA3-B2B0-80A6F7BEA693}"/>
    <cellStyle name="20% - Accent6 2 4 6" xfId="3575" xr:uid="{AFDE22BD-1D22-4E66-B1E4-486B50B9770B}"/>
    <cellStyle name="20% - Accent6 2 5" xfId="482" xr:uid="{00000000-0005-0000-0000-00004D010000}"/>
    <cellStyle name="20% - Accent6 2 5 2" xfId="1308" xr:uid="{AD9CBAF8-4BF7-4AB0-A7DB-A7D436911BE8}"/>
    <cellStyle name="20% - Accent6 2 5 3" xfId="2136" xr:uid="{B7FB184C-D5BE-4BD4-AF91-B87B8FE666F5}"/>
    <cellStyle name="20% - Accent6 2 5 4" xfId="2960" xr:uid="{74DACC95-1605-44F6-8C56-CFA09F3553B0}"/>
    <cellStyle name="20% - Accent6 2 5 5" xfId="3784" xr:uid="{0DB81DC1-99B6-4183-8771-4AD6543752E7}"/>
    <cellStyle name="20% - Accent6 2 6" xfId="888" xr:uid="{25E3445E-D896-43EA-ABA3-FD1B8F496D66}"/>
    <cellStyle name="20% - Accent6 2 7" xfId="1716" xr:uid="{EF27FFD7-E1A2-4B20-BF65-4532D967F3F3}"/>
    <cellStyle name="20% - Accent6 2 8" xfId="2540" xr:uid="{AFFDA79B-AA9A-4909-974D-1D0CB6665F19}"/>
    <cellStyle name="20% - Accent6 2 9" xfId="3364" xr:uid="{7CB37A31-7A10-4AE2-9A34-A0B85394FBB8}"/>
    <cellStyle name="20% - Accent6 3" xfId="75" xr:uid="{00000000-0005-0000-0000-00004E010000}"/>
    <cellStyle name="20% - Accent6 3 2" xfId="128" xr:uid="{00000000-0005-0000-0000-00004F010000}"/>
    <cellStyle name="20% - Accent6 3 2 2" xfId="233" xr:uid="{00000000-0005-0000-0000-000050010000}"/>
    <cellStyle name="20% - Accent6 3 2 2 2" xfId="442" xr:uid="{00000000-0005-0000-0000-000051010000}"/>
    <cellStyle name="20% - Accent6 3 2 2 2 2" xfId="859" xr:uid="{00000000-0005-0000-0000-000052010000}"/>
    <cellStyle name="20% - Accent6 3 2 2 2 2 2" xfId="1685" xr:uid="{B7604BF9-CEDE-4A87-BC86-19638F7A054B}"/>
    <cellStyle name="20% - Accent6 3 2 2 2 2 3" xfId="2513" xr:uid="{89674FCC-E872-484B-80FA-6D73084D2100}"/>
    <cellStyle name="20% - Accent6 3 2 2 2 2 4" xfId="3337" xr:uid="{DBC4B18A-A56C-4238-9381-644944953A8A}"/>
    <cellStyle name="20% - Accent6 3 2 2 2 2 5" xfId="4161" xr:uid="{F872A24D-638C-4DAF-8030-10ECE638EFC3}"/>
    <cellStyle name="20% - Accent6 3 2 2 2 3" xfId="1268" xr:uid="{BADECAAA-FC32-4C6B-BC93-76F83F04D18C}"/>
    <cellStyle name="20% - Accent6 3 2 2 2 4" xfId="2096" xr:uid="{9E4F818E-A698-4281-BDF0-20107E396DEB}"/>
    <cellStyle name="20% - Accent6 3 2 2 2 5" xfId="2920" xr:uid="{DE921008-BC76-43B4-A0C5-3A88AC891F5D}"/>
    <cellStyle name="20% - Accent6 3 2 2 2 6" xfId="3744" xr:uid="{3E4A4E3D-194B-4E22-BC9D-52A31149D2D1}"/>
    <cellStyle name="20% - Accent6 3 2 2 3" xfId="651" xr:uid="{00000000-0005-0000-0000-000053010000}"/>
    <cellStyle name="20% - Accent6 3 2 2 3 2" xfId="1477" xr:uid="{7611C6E9-0550-45A2-8D63-0B7B360B398D}"/>
    <cellStyle name="20% - Accent6 3 2 2 3 3" xfId="2305" xr:uid="{5B0B7BAE-816F-467F-8B35-54255D80DEF3}"/>
    <cellStyle name="20% - Accent6 3 2 2 3 4" xfId="3129" xr:uid="{79521FFB-74E4-4D76-BD6D-D38FB2B123C1}"/>
    <cellStyle name="20% - Accent6 3 2 2 3 5" xfId="3953" xr:uid="{C59EE084-5C9E-4A4C-8461-5BC857D9F9BA}"/>
    <cellStyle name="20% - Accent6 3 2 2 4" xfId="1059" xr:uid="{9A60C198-9652-49E3-9C46-F1320EC75EFA}"/>
    <cellStyle name="20% - Accent6 3 2 2 5" xfId="1887" xr:uid="{CC857909-2B4E-48E7-BFD0-F218B9C428BE}"/>
    <cellStyle name="20% - Accent6 3 2 2 6" xfId="2711" xr:uid="{DC48CBC9-D222-4870-BCAD-AF48E3EBEA65}"/>
    <cellStyle name="20% - Accent6 3 2 2 7" xfId="3535" xr:uid="{E6334823-AE68-42EC-A0D3-B4EEB7744F6C}"/>
    <cellStyle name="20% - Accent6 3 2 3" xfId="338" xr:uid="{00000000-0005-0000-0000-000054010000}"/>
    <cellStyle name="20% - Accent6 3 2 3 2" xfId="755" xr:uid="{00000000-0005-0000-0000-000055010000}"/>
    <cellStyle name="20% - Accent6 3 2 3 2 2" xfId="1581" xr:uid="{1F4245D6-D20C-4C80-9243-727E53018CAB}"/>
    <cellStyle name="20% - Accent6 3 2 3 2 3" xfId="2409" xr:uid="{AA766241-25EB-4125-97F5-6FF8ABDA4D2B}"/>
    <cellStyle name="20% - Accent6 3 2 3 2 4" xfId="3233" xr:uid="{EA903423-97B8-45E9-915A-BA2C5E1A4706}"/>
    <cellStyle name="20% - Accent6 3 2 3 2 5" xfId="4057" xr:uid="{F8D260A8-D796-4417-907D-4E21EBBAE333}"/>
    <cellStyle name="20% - Accent6 3 2 3 3" xfId="1164" xr:uid="{A5AE96BA-F6BA-4295-9E52-E4C5157CE537}"/>
    <cellStyle name="20% - Accent6 3 2 3 4" xfId="1992" xr:uid="{CBFA564C-4089-4994-B733-5D57FB6240C8}"/>
    <cellStyle name="20% - Accent6 3 2 3 5" xfId="2816" xr:uid="{E77F287F-0FA8-42D4-8A96-3DC48BDD93A2}"/>
    <cellStyle name="20% - Accent6 3 2 3 6" xfId="3640" xr:uid="{D0E8C69D-2869-4B6C-BA3E-FB65551ED2F9}"/>
    <cellStyle name="20% - Accent6 3 2 4" xfId="547" xr:uid="{00000000-0005-0000-0000-000056010000}"/>
    <cellStyle name="20% - Accent6 3 2 4 2" xfId="1373" xr:uid="{3B77EBDF-2755-46CD-A087-9DCC73298CB3}"/>
    <cellStyle name="20% - Accent6 3 2 4 3" xfId="2201" xr:uid="{E6689094-39FC-4243-9D6A-3A05699C9328}"/>
    <cellStyle name="20% - Accent6 3 2 4 4" xfId="3025" xr:uid="{E9A360DC-7DF8-47BE-A804-866845754236}"/>
    <cellStyle name="20% - Accent6 3 2 4 5" xfId="3849" xr:uid="{ADCE345D-9124-4480-8850-7BAA94A58242}"/>
    <cellStyle name="20% - Accent6 3 2 5" xfId="954" xr:uid="{D2D4CE20-290E-4DE3-8133-EF2B8A24982F}"/>
    <cellStyle name="20% - Accent6 3 2 6" xfId="1782" xr:uid="{617ACF55-E970-4090-AFFA-32D6D2872D72}"/>
    <cellStyle name="20% - Accent6 3 2 7" xfId="2606" xr:uid="{FFED58CA-44E1-44DD-8941-132BAF9521FA}"/>
    <cellStyle name="20% - Accent6 3 2 8" xfId="3430" xr:uid="{8A7EBB2A-A47C-40BC-B781-F556BF699CBD}"/>
    <cellStyle name="20% - Accent6 3 3" xfId="181" xr:uid="{00000000-0005-0000-0000-000057010000}"/>
    <cellStyle name="20% - Accent6 3 3 2" xfId="390" xr:uid="{00000000-0005-0000-0000-000058010000}"/>
    <cellStyle name="20% - Accent6 3 3 2 2" xfId="807" xr:uid="{00000000-0005-0000-0000-000059010000}"/>
    <cellStyle name="20% - Accent6 3 3 2 2 2" xfId="1633" xr:uid="{4686F572-1C5E-464A-A7A0-589B5C135EE5}"/>
    <cellStyle name="20% - Accent6 3 3 2 2 3" xfId="2461" xr:uid="{8247C797-4522-41EB-B16E-ACE3B4138854}"/>
    <cellStyle name="20% - Accent6 3 3 2 2 4" xfId="3285" xr:uid="{8E4A73B5-5D32-4B06-AB21-2DD061C9E4CF}"/>
    <cellStyle name="20% - Accent6 3 3 2 2 5" xfId="4109" xr:uid="{E4C00C8C-A5A8-41DD-B8A3-53788606533C}"/>
    <cellStyle name="20% - Accent6 3 3 2 3" xfId="1216" xr:uid="{14C4C4CF-59A0-40F8-85C5-3DA38C4BF314}"/>
    <cellStyle name="20% - Accent6 3 3 2 4" xfId="2044" xr:uid="{0561C770-CB7F-4B57-82CC-3032850E6B44}"/>
    <cellStyle name="20% - Accent6 3 3 2 5" xfId="2868" xr:uid="{6FB24C8D-040A-4194-9977-93533B42A38F}"/>
    <cellStyle name="20% - Accent6 3 3 2 6" xfId="3692" xr:uid="{A3E6FBC2-1AD0-43D0-A767-3D255EC92849}"/>
    <cellStyle name="20% - Accent6 3 3 3" xfId="599" xr:uid="{00000000-0005-0000-0000-00005A010000}"/>
    <cellStyle name="20% - Accent6 3 3 3 2" xfId="1425" xr:uid="{A6457A38-0301-4EA2-ABAA-F84CC86F72AC}"/>
    <cellStyle name="20% - Accent6 3 3 3 3" xfId="2253" xr:uid="{EE7E200B-89CE-43B5-A37B-689558DE0750}"/>
    <cellStyle name="20% - Accent6 3 3 3 4" xfId="3077" xr:uid="{9A7076C9-8FE6-4BA8-99A7-F1E9AC715D69}"/>
    <cellStyle name="20% - Accent6 3 3 3 5" xfId="3901" xr:uid="{6243EA42-046D-4726-8C39-5F92E65B71EE}"/>
    <cellStyle name="20% - Accent6 3 3 4" xfId="1007" xr:uid="{E98CCD06-6032-4E85-BE81-C79CEB9B7A17}"/>
    <cellStyle name="20% - Accent6 3 3 5" xfId="1835" xr:uid="{A9D817C5-361C-4FC4-8612-5A106C1D6D16}"/>
    <cellStyle name="20% - Accent6 3 3 6" xfId="2659" xr:uid="{48224B0C-6E41-4500-B68A-388017D455E7}"/>
    <cellStyle name="20% - Accent6 3 3 7" xfId="3483" xr:uid="{21B30F81-4805-42DF-BCB9-DD9DB7F0FB87}"/>
    <cellStyle name="20% - Accent6 3 4" xfId="286" xr:uid="{00000000-0005-0000-0000-00005B010000}"/>
    <cellStyle name="20% - Accent6 3 4 2" xfId="703" xr:uid="{00000000-0005-0000-0000-00005C010000}"/>
    <cellStyle name="20% - Accent6 3 4 2 2" xfId="1529" xr:uid="{5F38CC33-1183-45DE-B1E5-30AD8C63A78D}"/>
    <cellStyle name="20% - Accent6 3 4 2 3" xfId="2357" xr:uid="{06ABEA88-F6D0-47F7-B511-20D2429A9D8E}"/>
    <cellStyle name="20% - Accent6 3 4 2 4" xfId="3181" xr:uid="{A3F20DAC-EB16-40E7-AC6A-CFDCD975AA3E}"/>
    <cellStyle name="20% - Accent6 3 4 2 5" xfId="4005" xr:uid="{E612BAA8-8A14-42F7-BA01-8FBEE42FBB4E}"/>
    <cellStyle name="20% - Accent6 3 4 3" xfId="1112" xr:uid="{40D3FCB5-E3F8-4F86-A439-5C16A7773EE9}"/>
    <cellStyle name="20% - Accent6 3 4 4" xfId="1940" xr:uid="{358E83E1-FA57-408A-8CE0-699A0E5DC9E1}"/>
    <cellStyle name="20% - Accent6 3 4 5" xfId="2764" xr:uid="{949072D7-A56E-420C-82E9-36D0A7AD1FD1}"/>
    <cellStyle name="20% - Accent6 3 4 6" xfId="3588" xr:uid="{A096AA79-5E46-40B4-90A8-0ED9519B38D4}"/>
    <cellStyle name="20% - Accent6 3 5" xfId="495" xr:uid="{00000000-0005-0000-0000-00005D010000}"/>
    <cellStyle name="20% - Accent6 3 5 2" xfId="1321" xr:uid="{6FA073E2-C26E-47B1-BD5D-319B1C0B92D2}"/>
    <cellStyle name="20% - Accent6 3 5 3" xfId="2149" xr:uid="{FA737BDB-0336-4C04-80FD-A368A4650247}"/>
    <cellStyle name="20% - Accent6 3 5 4" xfId="2973" xr:uid="{9C1E851B-204D-4480-AC32-6551ABFB52C5}"/>
    <cellStyle name="20% - Accent6 3 5 5" xfId="3797" xr:uid="{877A5D0B-00CB-4EB9-AF8E-741B82680991}"/>
    <cellStyle name="20% - Accent6 3 6" xfId="901" xr:uid="{E9955523-5DBB-4965-93F5-FF188F49A8EC}"/>
    <cellStyle name="20% - Accent6 3 7" xfId="1729" xr:uid="{41256C2E-8EA0-4F72-9719-45DAB1BED73D}"/>
    <cellStyle name="20% - Accent6 3 8" xfId="2553" xr:uid="{B222EF1C-37EB-4B23-864A-68E2DC182437}"/>
    <cellStyle name="20% - Accent6 3 9" xfId="3377" xr:uid="{386C33ED-BC7A-4EC5-B50A-F61B225B924E}"/>
    <cellStyle name="20% - Accent6 4" xfId="88" xr:uid="{00000000-0005-0000-0000-00005E010000}"/>
    <cellStyle name="20% - Accent6 4 2" xfId="194" xr:uid="{00000000-0005-0000-0000-00005F010000}"/>
    <cellStyle name="20% - Accent6 4 2 2" xfId="403" xr:uid="{00000000-0005-0000-0000-000060010000}"/>
    <cellStyle name="20% - Accent6 4 2 2 2" xfId="820" xr:uid="{00000000-0005-0000-0000-000061010000}"/>
    <cellStyle name="20% - Accent6 4 2 2 2 2" xfId="1646" xr:uid="{B50A5CEC-7D1E-42DA-9BC7-E5AF0469C796}"/>
    <cellStyle name="20% - Accent6 4 2 2 2 3" xfId="2474" xr:uid="{8BE4D7EF-049B-49E9-B008-6E240009A4B3}"/>
    <cellStyle name="20% - Accent6 4 2 2 2 4" xfId="3298" xr:uid="{8E0F8412-34F3-475C-AE83-8579A7FDE6AF}"/>
    <cellStyle name="20% - Accent6 4 2 2 2 5" xfId="4122" xr:uid="{B50F9D62-6D0A-46D3-B010-C236944413FA}"/>
    <cellStyle name="20% - Accent6 4 2 2 3" xfId="1229" xr:uid="{5D26E71B-A61E-4F15-A3AB-C87873ACE456}"/>
    <cellStyle name="20% - Accent6 4 2 2 4" xfId="2057" xr:uid="{0856304A-48B9-421E-953B-4E45D4A33C62}"/>
    <cellStyle name="20% - Accent6 4 2 2 5" xfId="2881" xr:uid="{A20CD05B-9280-4C7A-89B7-9F8BBCEAB04B}"/>
    <cellStyle name="20% - Accent6 4 2 2 6" xfId="3705" xr:uid="{FCFD1A16-0E9D-47F6-ACD8-F9E2907170A6}"/>
    <cellStyle name="20% - Accent6 4 2 3" xfId="612" xr:uid="{00000000-0005-0000-0000-000062010000}"/>
    <cellStyle name="20% - Accent6 4 2 3 2" xfId="1438" xr:uid="{BB56C57E-2EE2-4AC7-B5FD-471E3FB5EC48}"/>
    <cellStyle name="20% - Accent6 4 2 3 3" xfId="2266" xr:uid="{94F6BCFC-84DA-4089-A5AC-3577EB536DFC}"/>
    <cellStyle name="20% - Accent6 4 2 3 4" xfId="3090" xr:uid="{DC1EA048-7A2E-4CEC-B7C3-CCF8A03BF5CF}"/>
    <cellStyle name="20% - Accent6 4 2 3 5" xfId="3914" xr:uid="{EB98CE8F-2D13-463C-B21D-315107724409}"/>
    <cellStyle name="20% - Accent6 4 2 4" xfId="1020" xr:uid="{F8C4A730-D9DA-4C58-B975-0BD38EFE8CBC}"/>
    <cellStyle name="20% - Accent6 4 2 5" xfId="1848" xr:uid="{D96D391B-FBBE-4955-8BF2-F5CC0664CF37}"/>
    <cellStyle name="20% - Accent6 4 2 6" xfId="2672" xr:uid="{45FDA543-1568-43F9-8E17-91056992C4E5}"/>
    <cellStyle name="20% - Accent6 4 2 7" xfId="3496" xr:uid="{838D3A0E-3EC9-44A6-B2B4-030B8F7B0C15}"/>
    <cellStyle name="20% - Accent6 4 3" xfId="299" xr:uid="{00000000-0005-0000-0000-000063010000}"/>
    <cellStyle name="20% - Accent6 4 3 2" xfId="716" xr:uid="{00000000-0005-0000-0000-000064010000}"/>
    <cellStyle name="20% - Accent6 4 3 2 2" xfId="1542" xr:uid="{06582E0D-2AB6-4783-AEB4-A07C03A0C7D1}"/>
    <cellStyle name="20% - Accent6 4 3 2 3" xfId="2370" xr:uid="{65236C55-3B1D-4916-BFA7-0075B9316023}"/>
    <cellStyle name="20% - Accent6 4 3 2 4" xfId="3194" xr:uid="{B61CEE88-702F-4C0E-8AFB-3A78E6DB22E8}"/>
    <cellStyle name="20% - Accent6 4 3 2 5" xfId="4018" xr:uid="{4D21DE43-BC65-4732-A0C0-D600FC66F892}"/>
    <cellStyle name="20% - Accent6 4 3 3" xfId="1125" xr:uid="{4ACC6CC0-9ADE-4B5F-BDB5-6CDAF6F209BB}"/>
    <cellStyle name="20% - Accent6 4 3 4" xfId="1953" xr:uid="{09CDAF06-6955-4B68-8A8E-C523BB00F373}"/>
    <cellStyle name="20% - Accent6 4 3 5" xfId="2777" xr:uid="{6DE8A90A-3109-4F2B-BF47-3FB9ABDD81A0}"/>
    <cellStyle name="20% - Accent6 4 3 6" xfId="3601" xr:uid="{A4CEC285-12AF-436E-924A-19C323969D61}"/>
    <cellStyle name="20% - Accent6 4 4" xfId="508" xr:uid="{00000000-0005-0000-0000-000065010000}"/>
    <cellStyle name="20% - Accent6 4 4 2" xfId="1334" xr:uid="{64AC454C-18AD-4F67-A65E-CC62392DA46F}"/>
    <cellStyle name="20% - Accent6 4 4 3" xfId="2162" xr:uid="{9D27E181-B0A3-4508-9A8F-442D2421EDA0}"/>
    <cellStyle name="20% - Accent6 4 4 4" xfId="2986" xr:uid="{938A03A2-ED20-4B44-B0A3-E10DECECD881}"/>
    <cellStyle name="20% - Accent6 4 4 5" xfId="3810" xr:uid="{234C2391-EA6C-441F-A047-CC662BC3B073}"/>
    <cellStyle name="20% - Accent6 4 5" xfId="914" xr:uid="{EAAFE385-FF55-4712-9BCC-070385E5006F}"/>
    <cellStyle name="20% - Accent6 4 6" xfId="1742" xr:uid="{6B6F894D-A9A2-43B6-9E20-FF8A93F8E784}"/>
    <cellStyle name="20% - Accent6 4 7" xfId="2566" xr:uid="{F2EF88DF-1A43-4A90-B944-2FDBD94EDEE5}"/>
    <cellStyle name="20% - Accent6 4 8" xfId="3390" xr:uid="{DF2446AE-6662-46CD-A349-2E8203992884}"/>
    <cellStyle name="20% - Accent6 5" xfId="101" xr:uid="{00000000-0005-0000-0000-000066010000}"/>
    <cellStyle name="20% - Accent6 5 2" xfId="206" xr:uid="{00000000-0005-0000-0000-000067010000}"/>
    <cellStyle name="20% - Accent6 5 2 2" xfId="415" xr:uid="{00000000-0005-0000-0000-000068010000}"/>
    <cellStyle name="20% - Accent6 5 2 2 2" xfId="832" xr:uid="{00000000-0005-0000-0000-000069010000}"/>
    <cellStyle name="20% - Accent6 5 2 2 2 2" xfId="1658" xr:uid="{38216F76-2F78-4535-99B8-99347A5DF21E}"/>
    <cellStyle name="20% - Accent6 5 2 2 2 3" xfId="2486" xr:uid="{CAF77600-1BF5-4B91-AB51-437A57A8AF2B}"/>
    <cellStyle name="20% - Accent6 5 2 2 2 4" xfId="3310" xr:uid="{7893C233-A7AC-4BC5-8A96-7E2114F91A29}"/>
    <cellStyle name="20% - Accent6 5 2 2 2 5" xfId="4134" xr:uid="{34AA7C59-26ED-426C-906C-CCC88C8974C2}"/>
    <cellStyle name="20% - Accent6 5 2 2 3" xfId="1241" xr:uid="{790AFA5E-0DD5-4B2E-97E5-11B57C8302E1}"/>
    <cellStyle name="20% - Accent6 5 2 2 4" xfId="2069" xr:uid="{2CD74D27-E0A2-45DD-85EB-1C277C9DD65E}"/>
    <cellStyle name="20% - Accent6 5 2 2 5" xfId="2893" xr:uid="{E8E43546-8F2B-43BE-98D5-87CEC9D13091}"/>
    <cellStyle name="20% - Accent6 5 2 2 6" xfId="3717" xr:uid="{F34334DC-F912-4B50-A332-118523CB53FE}"/>
    <cellStyle name="20% - Accent6 5 2 3" xfId="624" xr:uid="{00000000-0005-0000-0000-00006A010000}"/>
    <cellStyle name="20% - Accent6 5 2 3 2" xfId="1450" xr:uid="{8EC0BAAE-97E9-4F0D-85C3-679E0F4F4696}"/>
    <cellStyle name="20% - Accent6 5 2 3 3" xfId="2278" xr:uid="{4C88FA39-65D8-472B-97C0-9A568C43DBC3}"/>
    <cellStyle name="20% - Accent6 5 2 3 4" xfId="3102" xr:uid="{5B28538C-4BD9-4AF4-A8CA-F3D07EDCE9E7}"/>
    <cellStyle name="20% - Accent6 5 2 3 5" xfId="3926" xr:uid="{69303997-9286-425A-9574-50D14851276D}"/>
    <cellStyle name="20% - Accent6 5 2 4" xfId="1032" xr:uid="{B7F296AA-3DEB-4FC1-B7F1-96EFF974DF8C}"/>
    <cellStyle name="20% - Accent6 5 2 5" xfId="1860" xr:uid="{549002DC-E7C4-4D6C-8C4B-C8DC26CA6E72}"/>
    <cellStyle name="20% - Accent6 5 2 6" xfId="2684" xr:uid="{1F11E8DE-3842-4181-9726-C7279A63E749}"/>
    <cellStyle name="20% - Accent6 5 2 7" xfId="3508" xr:uid="{1607C182-2305-4439-9B58-8D0E31102D1F}"/>
    <cellStyle name="20% - Accent6 5 3" xfId="311" xr:uid="{00000000-0005-0000-0000-00006B010000}"/>
    <cellStyle name="20% - Accent6 5 3 2" xfId="728" xr:uid="{00000000-0005-0000-0000-00006C010000}"/>
    <cellStyle name="20% - Accent6 5 3 2 2" xfId="1554" xr:uid="{DBEA0037-0CD4-45A9-A469-51EBCD7AD48F}"/>
    <cellStyle name="20% - Accent6 5 3 2 3" xfId="2382" xr:uid="{7298F373-AF27-4313-B0E1-9D9A815A9B08}"/>
    <cellStyle name="20% - Accent6 5 3 2 4" xfId="3206" xr:uid="{1BDB6F0A-EFF3-42E4-91F5-5E5D7C9F34B2}"/>
    <cellStyle name="20% - Accent6 5 3 2 5" xfId="4030" xr:uid="{EF3D6C7B-ED34-40F4-AF30-23C16E7EF9DE}"/>
    <cellStyle name="20% - Accent6 5 3 3" xfId="1137" xr:uid="{266D5044-1382-4CB3-B0D3-3CD270E4388F}"/>
    <cellStyle name="20% - Accent6 5 3 4" xfId="1965" xr:uid="{5D6ED838-E92A-4D74-96B4-B31187CC9B8D}"/>
    <cellStyle name="20% - Accent6 5 3 5" xfId="2789" xr:uid="{CCD605BC-AC24-4F4B-B5DC-A02557CE5082}"/>
    <cellStyle name="20% - Accent6 5 3 6" xfId="3613" xr:uid="{45C86397-4DC5-4BA2-8EBD-C55D29C76470}"/>
    <cellStyle name="20% - Accent6 5 4" xfId="520" xr:uid="{00000000-0005-0000-0000-00006D010000}"/>
    <cellStyle name="20% - Accent6 5 4 2" xfId="1346" xr:uid="{3C5655C6-1737-425F-B7FC-0AC1940A0B73}"/>
    <cellStyle name="20% - Accent6 5 4 3" xfId="2174" xr:uid="{8F3981BF-6529-475C-84AC-336ECBFDB793}"/>
    <cellStyle name="20% - Accent6 5 4 4" xfId="2998" xr:uid="{177CD5FD-3A0B-4CEE-B05F-12BA99B8C1E4}"/>
    <cellStyle name="20% - Accent6 5 4 5" xfId="3822" xr:uid="{9D150074-7461-4227-97AA-E8597B8EAE08}"/>
    <cellStyle name="20% - Accent6 5 5" xfId="927" xr:uid="{B3903151-C163-40DE-99E9-4519C2B7569C}"/>
    <cellStyle name="20% - Accent6 5 6" xfId="1755" xr:uid="{2D06CCA4-4C1D-4074-A93D-CD743403E655}"/>
    <cellStyle name="20% - Accent6 5 7" xfId="2579" xr:uid="{8BA39787-8FE9-4304-AF37-60F32CA6B4DB}"/>
    <cellStyle name="20% - Accent6 5 8" xfId="3403" xr:uid="{6E108ACF-C1A3-40A7-80BC-D95000DA88E9}"/>
    <cellStyle name="20% - Accent6 6" xfId="141" xr:uid="{00000000-0005-0000-0000-00006E010000}"/>
    <cellStyle name="20% - Accent6 6 2" xfId="351" xr:uid="{00000000-0005-0000-0000-00006F010000}"/>
    <cellStyle name="20% - Accent6 6 2 2" xfId="768" xr:uid="{00000000-0005-0000-0000-000070010000}"/>
    <cellStyle name="20% - Accent6 6 2 2 2" xfId="1594" xr:uid="{5ABA50F1-0898-40FA-B4E7-852BC08EEC69}"/>
    <cellStyle name="20% - Accent6 6 2 2 3" xfId="2422" xr:uid="{068A3F8E-6C42-4973-8EA7-7036F58B6BA4}"/>
    <cellStyle name="20% - Accent6 6 2 2 4" xfId="3246" xr:uid="{7542A77F-8064-40CA-BA39-3EB4C146B7EC}"/>
    <cellStyle name="20% - Accent6 6 2 2 5" xfId="4070" xr:uid="{256E712D-2F7C-4B5D-A04C-6C8C5816131A}"/>
    <cellStyle name="20% - Accent6 6 2 3" xfId="1177" xr:uid="{86311FEA-3FD0-4957-A507-91F6E1780EF1}"/>
    <cellStyle name="20% - Accent6 6 2 4" xfId="2005" xr:uid="{5BA385D1-1134-446E-8478-95272F7DFA2F}"/>
    <cellStyle name="20% - Accent6 6 2 5" xfId="2829" xr:uid="{BDC57C55-ECF5-4D0F-BF1F-EA7A06B2A214}"/>
    <cellStyle name="20% - Accent6 6 2 6" xfId="3653" xr:uid="{DFC6F66C-EB3C-4D96-9B89-9821EDC4A938}"/>
    <cellStyle name="20% - Accent6 6 3" xfId="560" xr:uid="{00000000-0005-0000-0000-000071010000}"/>
    <cellStyle name="20% - Accent6 6 3 2" xfId="1386" xr:uid="{52158611-7FB6-4045-8500-92379CCB6E04}"/>
    <cellStyle name="20% - Accent6 6 3 3" xfId="2214" xr:uid="{CB64A7DE-C50A-4600-AA85-FAF7834B0504}"/>
    <cellStyle name="20% - Accent6 6 3 4" xfId="3038" xr:uid="{7064DAAB-8EA8-40C0-82C3-717CD43D0311}"/>
    <cellStyle name="20% - Accent6 6 3 5" xfId="3862" xr:uid="{B75D9777-4C5C-4CB1-A110-A6E14534EBF6}"/>
    <cellStyle name="20% - Accent6 6 4" xfId="967" xr:uid="{E641836C-D7AE-4C88-B1F8-805FA518FF5D}"/>
    <cellStyle name="20% - Accent6 6 5" xfId="1795" xr:uid="{D66E26E3-B7EE-4A60-BE73-CA4C731BA1C7}"/>
    <cellStyle name="20% - Accent6 6 6" xfId="2619" xr:uid="{11151C60-660E-4E3B-A9BE-6ABB7B00DBAE}"/>
    <cellStyle name="20% - Accent6 6 7" xfId="3443" xr:uid="{C6F4DEC9-B7C5-4FB8-A0DB-D4DED7C5FEEF}"/>
    <cellStyle name="20% - Accent6 7" xfId="154" xr:uid="{00000000-0005-0000-0000-000072010000}"/>
    <cellStyle name="20% - Accent6 7 2" xfId="363" xr:uid="{00000000-0005-0000-0000-000073010000}"/>
    <cellStyle name="20% - Accent6 7 2 2" xfId="780" xr:uid="{00000000-0005-0000-0000-000074010000}"/>
    <cellStyle name="20% - Accent6 7 2 2 2" xfId="1606" xr:uid="{CC8B8720-23E0-4DA6-9248-46657847854E}"/>
    <cellStyle name="20% - Accent6 7 2 2 3" xfId="2434" xr:uid="{11D60C3C-FAA1-42EE-989C-09E0B7D3093F}"/>
    <cellStyle name="20% - Accent6 7 2 2 4" xfId="3258" xr:uid="{D9BAB6D2-7B4A-4CF1-B69B-0D66E9AA8B02}"/>
    <cellStyle name="20% - Accent6 7 2 2 5" xfId="4082" xr:uid="{C4C9B963-1299-4AFC-85ED-3D127BF383A2}"/>
    <cellStyle name="20% - Accent6 7 2 3" xfId="1189" xr:uid="{88A29AFD-AF0C-4571-BB3A-63103AFCCEF1}"/>
    <cellStyle name="20% - Accent6 7 2 4" xfId="2017" xr:uid="{260F2930-1DFE-423A-8B43-C307AA582F9F}"/>
    <cellStyle name="20% - Accent6 7 2 5" xfId="2841" xr:uid="{D68C278F-CE52-4DE6-A0F4-C96D77EFF991}"/>
    <cellStyle name="20% - Accent6 7 2 6" xfId="3665" xr:uid="{A1FB281C-9D27-42D7-8A17-20C9ABAA31C4}"/>
    <cellStyle name="20% - Accent6 7 3" xfId="572" xr:uid="{00000000-0005-0000-0000-000075010000}"/>
    <cellStyle name="20% - Accent6 7 3 2" xfId="1398" xr:uid="{6EBF0224-C42B-4934-9AA2-0C78DCA5DCF4}"/>
    <cellStyle name="20% - Accent6 7 3 3" xfId="2226" xr:uid="{04B0D612-F746-4B8C-8887-2F3A30B03A90}"/>
    <cellStyle name="20% - Accent6 7 3 4" xfId="3050" xr:uid="{6C77E872-2831-4072-BEC8-806978A582A6}"/>
    <cellStyle name="20% - Accent6 7 3 5" xfId="3874" xr:uid="{CF3189D0-30A8-4614-A833-70F114CC7E2B}"/>
    <cellStyle name="20% - Accent6 7 4" xfId="980" xr:uid="{90E8454C-D79C-4B23-98D0-B48FD68C49E9}"/>
    <cellStyle name="20% - Accent6 7 5" xfId="1808" xr:uid="{1AB6DB37-4786-4BC2-95D2-8ED2EC61DB35}"/>
    <cellStyle name="20% - Accent6 7 6" xfId="2632" xr:uid="{0584342C-8422-4B1C-B87F-2D6487BA3EE2}"/>
    <cellStyle name="20% - Accent6 7 7" xfId="3456" xr:uid="{5E539B02-AA41-49F4-A66A-FFC1C3625EF6}"/>
    <cellStyle name="20% - Accent6 8" xfId="246" xr:uid="{00000000-0005-0000-0000-000076010000}"/>
    <cellStyle name="20% - Accent6 8 2" xfId="664" xr:uid="{00000000-0005-0000-0000-000077010000}"/>
    <cellStyle name="20% - Accent6 8 2 2" xfId="1490" xr:uid="{600105F4-E4CB-414B-8AFB-11662EBAAA66}"/>
    <cellStyle name="20% - Accent6 8 2 3" xfId="2318" xr:uid="{82625A0E-EF19-481C-B94C-BB6697375C5F}"/>
    <cellStyle name="20% - Accent6 8 2 4" xfId="3142" xr:uid="{50ED05DB-2162-49F4-926C-01B4812A3036}"/>
    <cellStyle name="20% - Accent6 8 2 5" xfId="3966" xr:uid="{3610702A-C180-43AF-BB36-6D66748025A5}"/>
    <cellStyle name="20% - Accent6 8 3" xfId="1072" xr:uid="{0FA33ED9-A77A-4F8E-8122-018CE707B133}"/>
    <cellStyle name="20% - Accent6 8 4" xfId="1900" xr:uid="{F21E2B31-8B68-4050-AE2F-7C16B73DFDE7}"/>
    <cellStyle name="20% - Accent6 8 5" xfId="2724" xr:uid="{34232F26-E3DF-44E5-A7C2-2F32B8AFC360}"/>
    <cellStyle name="20% - Accent6 8 6" xfId="3548" xr:uid="{E6E580AB-F201-4D27-A659-46718DC8DC4B}"/>
    <cellStyle name="20% - Accent6 9" xfId="259" xr:uid="{00000000-0005-0000-0000-000078010000}"/>
    <cellStyle name="20% - Accent6 9 2" xfId="676" xr:uid="{00000000-0005-0000-0000-000079010000}"/>
    <cellStyle name="20% - Accent6 9 2 2" xfId="1502" xr:uid="{445E69C5-DB71-4175-9207-EA840F41C281}"/>
    <cellStyle name="20% - Accent6 9 2 3" xfId="2330" xr:uid="{042DBE68-BE40-44CE-96BF-4233F69AF7BD}"/>
    <cellStyle name="20% - Accent6 9 2 4" xfId="3154" xr:uid="{9C707853-1502-43FA-BAF2-ABC262A153E4}"/>
    <cellStyle name="20% - Accent6 9 2 5" xfId="3978" xr:uid="{B06AAE63-9A91-4AC1-B2A6-C27031063806}"/>
    <cellStyle name="20% - Accent6 9 3" xfId="1085" xr:uid="{384162E0-EAC1-4806-891C-3C5A782CC2A3}"/>
    <cellStyle name="20% - Accent6 9 4" xfId="1913" xr:uid="{F9FB75D2-0B59-4AE5-BC0D-6BBBB53610E1}"/>
    <cellStyle name="20% - Accent6 9 5" xfId="2737" xr:uid="{E617B7D4-F146-41B5-B558-B2FCC83386D6}"/>
    <cellStyle name="20% - Accent6 9 6" xfId="3561" xr:uid="{661ACEF1-2998-4A4C-9BBC-1CE51FACA5A4}"/>
    <cellStyle name="40% - Accent1" xfId="24" builtinId="31" customBuiltin="1"/>
    <cellStyle name="40% - Accent1 10" xfId="446" xr:uid="{00000000-0005-0000-0000-00007B010000}"/>
    <cellStyle name="40% - Accent1 10 2" xfId="1272" xr:uid="{D8413C6F-923E-44B0-B6BB-38DF07AB68CE}"/>
    <cellStyle name="40% - Accent1 10 3" xfId="2100" xr:uid="{54DFBAF0-F5C6-4B58-B213-5D3B02498257}"/>
    <cellStyle name="40% - Accent1 10 4" xfId="2924" xr:uid="{40B7512E-4DF1-4AE4-915D-AD9CC3A91C4A}"/>
    <cellStyle name="40% - Accent1 10 5" xfId="3748" xr:uid="{A60096B0-40A5-4430-99DF-F25DEE7913F3}"/>
    <cellStyle name="40% - Accent1 11" xfId="459" xr:uid="{00000000-0005-0000-0000-00007C010000}"/>
    <cellStyle name="40% - Accent1 11 2" xfId="1285" xr:uid="{A54ADB72-AD3E-463C-BA15-5B004ACDD0DC}"/>
    <cellStyle name="40% - Accent1 11 3" xfId="2113" xr:uid="{91450EE0-2E74-4653-8CD9-7BAA6C3D8F1A}"/>
    <cellStyle name="40% - Accent1 11 4" xfId="2937" xr:uid="{AD508592-00BC-4C88-A63D-CAC4BDDE3E2E}"/>
    <cellStyle name="40% - Accent1 11 5" xfId="3761" xr:uid="{37C0F0AA-FF3B-433A-8D55-72914EE7BFF6}"/>
    <cellStyle name="40% - Accent1 12" xfId="864" xr:uid="{86B62B34-E33D-4E5F-B5B4-66CD5AED9498}"/>
    <cellStyle name="40% - Accent1 13" xfId="1693" xr:uid="{0CC3B599-F84A-4A77-8B0D-D942C607CE12}"/>
    <cellStyle name="40% - Accent1 14" xfId="2517" xr:uid="{34DEDF8B-18A0-4850-8EE3-DEDB5255ADC8}"/>
    <cellStyle name="40% - Accent1 15" xfId="3341" xr:uid="{79C60823-A902-49F9-8FC9-ADC161D46FA3}"/>
    <cellStyle name="40% - Accent1 2" xfId="53" xr:uid="{00000000-0005-0000-0000-00007D010000}"/>
    <cellStyle name="40% - Accent1 2 2" xfId="106" xr:uid="{00000000-0005-0000-0000-00007E010000}"/>
    <cellStyle name="40% - Accent1 2 2 2" xfId="211" xr:uid="{00000000-0005-0000-0000-00007F010000}"/>
    <cellStyle name="40% - Accent1 2 2 2 2" xfId="420" xr:uid="{00000000-0005-0000-0000-000080010000}"/>
    <cellStyle name="40% - Accent1 2 2 2 2 2" xfId="837" xr:uid="{00000000-0005-0000-0000-000081010000}"/>
    <cellStyle name="40% - Accent1 2 2 2 2 2 2" xfId="1663" xr:uid="{F9597A28-B8D4-424A-A9AC-1F78DFAA9EC9}"/>
    <cellStyle name="40% - Accent1 2 2 2 2 2 3" xfId="2491" xr:uid="{74933E35-AE7E-4250-A648-1E50D96130DE}"/>
    <cellStyle name="40% - Accent1 2 2 2 2 2 4" xfId="3315" xr:uid="{DBA9DBAC-9C6B-48A2-8B15-E7C1B908ACBB}"/>
    <cellStyle name="40% - Accent1 2 2 2 2 2 5" xfId="4139" xr:uid="{93270DF4-4837-47A3-A213-4C55ED88A7DC}"/>
    <cellStyle name="40% - Accent1 2 2 2 2 3" xfId="1246" xr:uid="{F419E2AE-65AC-448E-9BF6-0025FBC4598B}"/>
    <cellStyle name="40% - Accent1 2 2 2 2 4" xfId="2074" xr:uid="{23D482DD-4580-44B9-8B71-650A2B1BC547}"/>
    <cellStyle name="40% - Accent1 2 2 2 2 5" xfId="2898" xr:uid="{8D4A83B4-7496-46F5-BA41-57A65B1690A0}"/>
    <cellStyle name="40% - Accent1 2 2 2 2 6" xfId="3722" xr:uid="{30301B79-B5BD-4338-9480-2D9D0E48511F}"/>
    <cellStyle name="40% - Accent1 2 2 2 3" xfId="629" xr:uid="{00000000-0005-0000-0000-000082010000}"/>
    <cellStyle name="40% - Accent1 2 2 2 3 2" xfId="1455" xr:uid="{494EB6A9-22DB-4F13-97D3-DF801ECC7042}"/>
    <cellStyle name="40% - Accent1 2 2 2 3 3" xfId="2283" xr:uid="{634F36F8-0D4D-40A9-9AFE-4C918722C54D}"/>
    <cellStyle name="40% - Accent1 2 2 2 3 4" xfId="3107" xr:uid="{21CD1C91-1453-4E9C-B60D-A289A0FFCAF2}"/>
    <cellStyle name="40% - Accent1 2 2 2 3 5" xfId="3931" xr:uid="{C7C5D104-97E2-4B6D-9C1C-9AAE3E3D391B}"/>
    <cellStyle name="40% - Accent1 2 2 2 4" xfId="1037" xr:uid="{BDD5AD26-A024-420C-8CA4-1FCCB4A75550}"/>
    <cellStyle name="40% - Accent1 2 2 2 5" xfId="1865" xr:uid="{2A10AC36-3407-4268-AF6B-FB27D6174BE0}"/>
    <cellStyle name="40% - Accent1 2 2 2 6" xfId="2689" xr:uid="{26D51291-E889-46AD-9787-BDE81C65BD91}"/>
    <cellStyle name="40% - Accent1 2 2 2 7" xfId="3513" xr:uid="{5E541AAB-A97D-4645-B48B-FDA2B55CBAD7}"/>
    <cellStyle name="40% - Accent1 2 2 3" xfId="316" xr:uid="{00000000-0005-0000-0000-000083010000}"/>
    <cellStyle name="40% - Accent1 2 2 3 2" xfId="733" xr:uid="{00000000-0005-0000-0000-000084010000}"/>
    <cellStyle name="40% - Accent1 2 2 3 2 2" xfId="1559" xr:uid="{0DCCAA5E-7B01-4A2B-BFDD-407DD6153E74}"/>
    <cellStyle name="40% - Accent1 2 2 3 2 3" xfId="2387" xr:uid="{D8E20A15-3D7B-4A7E-9562-13AF74ED51A9}"/>
    <cellStyle name="40% - Accent1 2 2 3 2 4" xfId="3211" xr:uid="{68FA0FEB-3A9C-41C8-B9E2-3BB9E101B7E1}"/>
    <cellStyle name="40% - Accent1 2 2 3 2 5" xfId="4035" xr:uid="{56674B20-0422-4A24-BF50-9887D4489621}"/>
    <cellStyle name="40% - Accent1 2 2 3 3" xfId="1142" xr:uid="{B326B850-D786-42AC-B844-7A4F3266F238}"/>
    <cellStyle name="40% - Accent1 2 2 3 4" xfId="1970" xr:uid="{A73E92C0-D61A-45CC-8919-F813AA351BD8}"/>
    <cellStyle name="40% - Accent1 2 2 3 5" xfId="2794" xr:uid="{C2392DC7-65B6-4A77-8A35-CE571F010C59}"/>
    <cellStyle name="40% - Accent1 2 2 3 6" xfId="3618" xr:uid="{17544FE0-A73E-412A-A831-7108579E88CC}"/>
    <cellStyle name="40% - Accent1 2 2 4" xfId="525" xr:uid="{00000000-0005-0000-0000-000085010000}"/>
    <cellStyle name="40% - Accent1 2 2 4 2" xfId="1351" xr:uid="{58EB329A-A9A7-4030-BD01-A5C088083C62}"/>
    <cellStyle name="40% - Accent1 2 2 4 3" xfId="2179" xr:uid="{63FA2712-BCF9-423F-8DB4-6C41EC53C205}"/>
    <cellStyle name="40% - Accent1 2 2 4 4" xfId="3003" xr:uid="{F2ADA310-7C28-4AED-A6E3-80EE568F3B39}"/>
    <cellStyle name="40% - Accent1 2 2 4 5" xfId="3827" xr:uid="{70D51F98-304D-409A-8DB8-D57A61919328}"/>
    <cellStyle name="40% - Accent1 2 2 5" xfId="932" xr:uid="{C3FE3C06-CB22-4682-9D97-30D5BE2464DA}"/>
    <cellStyle name="40% - Accent1 2 2 6" xfId="1760" xr:uid="{9CB706AC-1E83-459E-839D-97B46EA15679}"/>
    <cellStyle name="40% - Accent1 2 2 7" xfId="2584" xr:uid="{F186C6A5-52E5-4636-968E-30D7FF86593E}"/>
    <cellStyle name="40% - Accent1 2 2 8" xfId="3408" xr:uid="{E37FD2EC-1AEC-4D20-B878-769D77675CD1}"/>
    <cellStyle name="40% - Accent1 2 3" xfId="159" xr:uid="{00000000-0005-0000-0000-000086010000}"/>
    <cellStyle name="40% - Accent1 2 3 2" xfId="368" xr:uid="{00000000-0005-0000-0000-000087010000}"/>
    <cellStyle name="40% - Accent1 2 3 2 2" xfId="785" xr:uid="{00000000-0005-0000-0000-000088010000}"/>
    <cellStyle name="40% - Accent1 2 3 2 2 2" xfId="1611" xr:uid="{FF05BAA0-7D99-4EBE-BD44-9996402C5F96}"/>
    <cellStyle name="40% - Accent1 2 3 2 2 3" xfId="2439" xr:uid="{8A0F66F3-409B-4ED9-9A57-663CDB63A238}"/>
    <cellStyle name="40% - Accent1 2 3 2 2 4" xfId="3263" xr:uid="{66250526-17CB-4053-B15F-028EF0D23B96}"/>
    <cellStyle name="40% - Accent1 2 3 2 2 5" xfId="4087" xr:uid="{95644C5E-60B6-4477-8E10-88A17F75B051}"/>
    <cellStyle name="40% - Accent1 2 3 2 3" xfId="1194" xr:uid="{1629787C-0E0D-42BF-B281-01A979E1FB2D}"/>
    <cellStyle name="40% - Accent1 2 3 2 4" xfId="2022" xr:uid="{9827515C-9C3E-405E-98F5-EE93B808BDDA}"/>
    <cellStyle name="40% - Accent1 2 3 2 5" xfId="2846" xr:uid="{B9B38543-6CF2-4C3C-8FCE-5305DFF50545}"/>
    <cellStyle name="40% - Accent1 2 3 2 6" xfId="3670" xr:uid="{DCA8200D-DD9A-4197-A873-1DC0A63FA413}"/>
    <cellStyle name="40% - Accent1 2 3 3" xfId="577" xr:uid="{00000000-0005-0000-0000-000089010000}"/>
    <cellStyle name="40% - Accent1 2 3 3 2" xfId="1403" xr:uid="{7ECADD70-6C57-4BFA-A7A5-539D4FD7AAE6}"/>
    <cellStyle name="40% - Accent1 2 3 3 3" xfId="2231" xr:uid="{801578A7-1100-4CDF-9A9C-DA8DF17E0A4D}"/>
    <cellStyle name="40% - Accent1 2 3 3 4" xfId="3055" xr:uid="{53AA9093-E2C4-4ED0-8E35-9472BB6654DF}"/>
    <cellStyle name="40% - Accent1 2 3 3 5" xfId="3879" xr:uid="{3257F8D0-4F91-4A88-B00F-4BDB60FBEFCD}"/>
    <cellStyle name="40% - Accent1 2 3 4" xfId="985" xr:uid="{D52E8D9B-51E3-493D-A5E5-8B1FFEFAA50C}"/>
    <cellStyle name="40% - Accent1 2 3 5" xfId="1813" xr:uid="{9F0C228F-403F-4B24-89D0-185DF0E375D0}"/>
    <cellStyle name="40% - Accent1 2 3 6" xfId="2637" xr:uid="{EAC10FDA-EC08-4AE3-B566-BE0467E3F5C6}"/>
    <cellStyle name="40% - Accent1 2 3 7" xfId="3461" xr:uid="{264FA8A6-6ABF-44BE-BBA5-16F6971A770C}"/>
    <cellStyle name="40% - Accent1 2 4" xfId="264" xr:uid="{00000000-0005-0000-0000-00008A010000}"/>
    <cellStyle name="40% - Accent1 2 4 2" xfId="681" xr:uid="{00000000-0005-0000-0000-00008B010000}"/>
    <cellStyle name="40% - Accent1 2 4 2 2" xfId="1507" xr:uid="{ECBBE3AC-120E-4550-98E5-4D20BF1ECF6F}"/>
    <cellStyle name="40% - Accent1 2 4 2 3" xfId="2335" xr:uid="{CA5D181A-BAB3-424B-AFDF-E839F27C2807}"/>
    <cellStyle name="40% - Accent1 2 4 2 4" xfId="3159" xr:uid="{F0671B6D-A025-4542-8542-504A4C48BFE2}"/>
    <cellStyle name="40% - Accent1 2 4 2 5" xfId="3983" xr:uid="{86B9F6F4-5E96-41D7-8F4F-A75B50E770F0}"/>
    <cellStyle name="40% - Accent1 2 4 3" xfId="1090" xr:uid="{C8C86EDE-1B0D-4570-BF9F-530E45873473}"/>
    <cellStyle name="40% - Accent1 2 4 4" xfId="1918" xr:uid="{A164747E-EE3E-44C3-95D5-A826693C2F30}"/>
    <cellStyle name="40% - Accent1 2 4 5" xfId="2742" xr:uid="{92B69C56-29B9-4040-9619-BC1A5E1C6563}"/>
    <cellStyle name="40% - Accent1 2 4 6" xfId="3566" xr:uid="{AFC899D1-3E8F-4EEE-AA4C-F7F9B67DCE02}"/>
    <cellStyle name="40% - Accent1 2 5" xfId="473" xr:uid="{00000000-0005-0000-0000-00008C010000}"/>
    <cellStyle name="40% - Accent1 2 5 2" xfId="1299" xr:uid="{671E7906-BBBC-42A8-8EC4-E7DC67034714}"/>
    <cellStyle name="40% - Accent1 2 5 3" xfId="2127" xr:uid="{1F885675-A2E7-4C7F-8C45-FDC1477ECAE2}"/>
    <cellStyle name="40% - Accent1 2 5 4" xfId="2951" xr:uid="{230904FB-986A-4AF6-A4D3-A8FC3734A7A3}"/>
    <cellStyle name="40% - Accent1 2 5 5" xfId="3775" xr:uid="{69EBE695-71D3-4912-B8A3-E267149ACA76}"/>
    <cellStyle name="40% - Accent1 2 6" xfId="879" xr:uid="{133DD3C1-3F9B-427D-A869-F005791C14B4}"/>
    <cellStyle name="40% - Accent1 2 7" xfId="1707" xr:uid="{B997163F-DD6D-41AE-A0F6-8A3FCAB683E5}"/>
    <cellStyle name="40% - Accent1 2 8" xfId="2531" xr:uid="{13BE3876-8D80-4D41-BC86-954675E9DBB3}"/>
    <cellStyle name="40% - Accent1 2 9" xfId="3355" xr:uid="{290DEBA0-5CB4-4407-A196-28E0E55D4C06}"/>
    <cellStyle name="40% - Accent1 3" xfId="66" xr:uid="{00000000-0005-0000-0000-00008D010000}"/>
    <cellStyle name="40% - Accent1 3 2" xfId="119" xr:uid="{00000000-0005-0000-0000-00008E010000}"/>
    <cellStyle name="40% - Accent1 3 2 2" xfId="224" xr:uid="{00000000-0005-0000-0000-00008F010000}"/>
    <cellStyle name="40% - Accent1 3 2 2 2" xfId="433" xr:uid="{00000000-0005-0000-0000-000090010000}"/>
    <cellStyle name="40% - Accent1 3 2 2 2 2" xfId="850" xr:uid="{00000000-0005-0000-0000-000091010000}"/>
    <cellStyle name="40% - Accent1 3 2 2 2 2 2" xfId="1676" xr:uid="{E3F9FF4C-0DCC-4935-B55F-B62742C0562C}"/>
    <cellStyle name="40% - Accent1 3 2 2 2 2 3" xfId="2504" xr:uid="{D2CEDA0F-1D4C-4599-AE35-7B36866446D9}"/>
    <cellStyle name="40% - Accent1 3 2 2 2 2 4" xfId="3328" xr:uid="{C32A65AA-14B8-4625-B1DE-BD6169110512}"/>
    <cellStyle name="40% - Accent1 3 2 2 2 2 5" xfId="4152" xr:uid="{7BBB41B6-2963-4F71-BA35-B96326F8A5E5}"/>
    <cellStyle name="40% - Accent1 3 2 2 2 3" xfId="1259" xr:uid="{C95D1692-99E9-4CD1-AE8D-DD05180729E8}"/>
    <cellStyle name="40% - Accent1 3 2 2 2 4" xfId="2087" xr:uid="{A478A9F4-9F79-4DC6-8748-31586AE7A76B}"/>
    <cellStyle name="40% - Accent1 3 2 2 2 5" xfId="2911" xr:uid="{7BCC40EB-A089-488F-B5BA-F68167928D73}"/>
    <cellStyle name="40% - Accent1 3 2 2 2 6" xfId="3735" xr:uid="{F563BA05-A146-4D8D-BF3F-843E46F423FE}"/>
    <cellStyle name="40% - Accent1 3 2 2 3" xfId="642" xr:uid="{00000000-0005-0000-0000-000092010000}"/>
    <cellStyle name="40% - Accent1 3 2 2 3 2" xfId="1468" xr:uid="{CED77ACF-1341-4522-8454-516ABE59023C}"/>
    <cellStyle name="40% - Accent1 3 2 2 3 3" xfId="2296" xr:uid="{71680E02-2F77-4A01-A4AD-FC1C4FD1A5B6}"/>
    <cellStyle name="40% - Accent1 3 2 2 3 4" xfId="3120" xr:uid="{49E0BA80-BBF2-4525-8023-EF3E3826F384}"/>
    <cellStyle name="40% - Accent1 3 2 2 3 5" xfId="3944" xr:uid="{F03D97E4-B762-45E6-9368-04DC408CD545}"/>
    <cellStyle name="40% - Accent1 3 2 2 4" xfId="1050" xr:uid="{9D517245-6A88-4160-9BC8-BA28FE49C7DA}"/>
    <cellStyle name="40% - Accent1 3 2 2 5" xfId="1878" xr:uid="{84AA6129-165E-460F-A4EA-4D7004FE81B8}"/>
    <cellStyle name="40% - Accent1 3 2 2 6" xfId="2702" xr:uid="{D09645FA-B836-45CA-A20E-566D2AFF32C2}"/>
    <cellStyle name="40% - Accent1 3 2 2 7" xfId="3526" xr:uid="{05754AC6-1524-4AF3-81FB-95B816668B4C}"/>
    <cellStyle name="40% - Accent1 3 2 3" xfId="329" xr:uid="{00000000-0005-0000-0000-000093010000}"/>
    <cellStyle name="40% - Accent1 3 2 3 2" xfId="746" xr:uid="{00000000-0005-0000-0000-000094010000}"/>
    <cellStyle name="40% - Accent1 3 2 3 2 2" xfId="1572" xr:uid="{372B5871-591F-49E3-B3D4-C2AD03EBB950}"/>
    <cellStyle name="40% - Accent1 3 2 3 2 3" xfId="2400" xr:uid="{BA0FA31E-35CA-4935-BAFC-AA1E9B9F7882}"/>
    <cellStyle name="40% - Accent1 3 2 3 2 4" xfId="3224" xr:uid="{78C9380D-A283-42C6-B114-605B12AB30F1}"/>
    <cellStyle name="40% - Accent1 3 2 3 2 5" xfId="4048" xr:uid="{A9A4E62B-7B11-4AA5-B36D-BAF216495784}"/>
    <cellStyle name="40% - Accent1 3 2 3 3" xfId="1155" xr:uid="{E2D1DB81-6095-4CFC-8219-44A6CFF613D2}"/>
    <cellStyle name="40% - Accent1 3 2 3 4" xfId="1983" xr:uid="{7345B61E-E3E0-4F9E-83B8-91F32AE9C667}"/>
    <cellStyle name="40% - Accent1 3 2 3 5" xfId="2807" xr:uid="{9D58F5C1-D747-4D7B-BEA2-3954CBBCCDD5}"/>
    <cellStyle name="40% - Accent1 3 2 3 6" xfId="3631" xr:uid="{74852563-DA2C-43CA-AC31-F34473AAEFC4}"/>
    <cellStyle name="40% - Accent1 3 2 4" xfId="538" xr:uid="{00000000-0005-0000-0000-000095010000}"/>
    <cellStyle name="40% - Accent1 3 2 4 2" xfId="1364" xr:uid="{EB02FFF4-9B6F-42D5-8C08-258F5293C08A}"/>
    <cellStyle name="40% - Accent1 3 2 4 3" xfId="2192" xr:uid="{C7236976-0691-4F7D-9CBA-14B37AE382FD}"/>
    <cellStyle name="40% - Accent1 3 2 4 4" xfId="3016" xr:uid="{7F6D188E-EEC7-4E34-ABC9-42B242E8047E}"/>
    <cellStyle name="40% - Accent1 3 2 4 5" xfId="3840" xr:uid="{2AA35D1C-A01B-4B09-ACB2-EE4CDCFE9E09}"/>
    <cellStyle name="40% - Accent1 3 2 5" xfId="945" xr:uid="{08C0EB0D-225D-451D-B8A2-9B01ED78810C}"/>
    <cellStyle name="40% - Accent1 3 2 6" xfId="1773" xr:uid="{63FAE241-26DA-4B9C-824B-BEAA9238B998}"/>
    <cellStyle name="40% - Accent1 3 2 7" xfId="2597" xr:uid="{F538DBFF-B761-438E-93C4-A55D38666778}"/>
    <cellStyle name="40% - Accent1 3 2 8" xfId="3421" xr:uid="{9F83DB8D-8D20-4D4E-8658-C91DAA708F1C}"/>
    <cellStyle name="40% - Accent1 3 3" xfId="172" xr:uid="{00000000-0005-0000-0000-000096010000}"/>
    <cellStyle name="40% - Accent1 3 3 2" xfId="381" xr:uid="{00000000-0005-0000-0000-000097010000}"/>
    <cellStyle name="40% - Accent1 3 3 2 2" xfId="798" xr:uid="{00000000-0005-0000-0000-000098010000}"/>
    <cellStyle name="40% - Accent1 3 3 2 2 2" xfId="1624" xr:uid="{D9C96BCF-E34C-42E9-8B4D-5F3BFB2CD9B8}"/>
    <cellStyle name="40% - Accent1 3 3 2 2 3" xfId="2452" xr:uid="{90BE7E45-337B-4CB0-9312-72B01F2F13E0}"/>
    <cellStyle name="40% - Accent1 3 3 2 2 4" xfId="3276" xr:uid="{B52AED9F-66CD-4BB3-82C6-A7C5DBE00882}"/>
    <cellStyle name="40% - Accent1 3 3 2 2 5" xfId="4100" xr:uid="{2A72C29F-63CD-47D0-97EE-02B936A23652}"/>
    <cellStyle name="40% - Accent1 3 3 2 3" xfId="1207" xr:uid="{7D20244D-311C-4C8B-9303-EA0478A861CE}"/>
    <cellStyle name="40% - Accent1 3 3 2 4" xfId="2035" xr:uid="{F146DF39-FF9E-4FFC-889D-8B6054CF25F8}"/>
    <cellStyle name="40% - Accent1 3 3 2 5" xfId="2859" xr:uid="{7B8DF942-1627-426F-9442-61A3A9B9FB99}"/>
    <cellStyle name="40% - Accent1 3 3 2 6" xfId="3683" xr:uid="{DAF96176-C275-4A12-B4D1-D0C97768A40D}"/>
    <cellStyle name="40% - Accent1 3 3 3" xfId="590" xr:uid="{00000000-0005-0000-0000-000099010000}"/>
    <cellStyle name="40% - Accent1 3 3 3 2" xfId="1416" xr:uid="{FA7DDF32-2CC5-4B26-A37F-744E632CCCA7}"/>
    <cellStyle name="40% - Accent1 3 3 3 3" xfId="2244" xr:uid="{CEFA9AFC-6D6B-4F57-B76A-4ADE4984816C}"/>
    <cellStyle name="40% - Accent1 3 3 3 4" xfId="3068" xr:uid="{8BAA3D57-B3DB-4AA2-8611-AEBD8E0EDCD5}"/>
    <cellStyle name="40% - Accent1 3 3 3 5" xfId="3892" xr:uid="{94F55E14-101C-44C8-BA8A-246EB9F3388B}"/>
    <cellStyle name="40% - Accent1 3 3 4" xfId="998" xr:uid="{98901798-A5C5-40EA-8E10-8AECF27CAB2E}"/>
    <cellStyle name="40% - Accent1 3 3 5" xfId="1826" xr:uid="{06D6B8AB-2E74-46F8-A678-29A57EC88D75}"/>
    <cellStyle name="40% - Accent1 3 3 6" xfId="2650" xr:uid="{A5C978D8-54B2-4F38-86D3-98340B8ED14D}"/>
    <cellStyle name="40% - Accent1 3 3 7" xfId="3474" xr:uid="{415AC85C-7F9D-4D11-BB7B-175EEA12B5C8}"/>
    <cellStyle name="40% - Accent1 3 4" xfId="277" xr:uid="{00000000-0005-0000-0000-00009A010000}"/>
    <cellStyle name="40% - Accent1 3 4 2" xfId="694" xr:uid="{00000000-0005-0000-0000-00009B010000}"/>
    <cellStyle name="40% - Accent1 3 4 2 2" xfId="1520" xr:uid="{BE262A35-EFD2-4DAE-AC5B-C8520FB834B6}"/>
    <cellStyle name="40% - Accent1 3 4 2 3" xfId="2348" xr:uid="{8A8BCC46-D783-4043-A763-2FB9D0CF0DE2}"/>
    <cellStyle name="40% - Accent1 3 4 2 4" xfId="3172" xr:uid="{9FD2BC0D-68B2-4246-B2E7-FE2D9EA0AD16}"/>
    <cellStyle name="40% - Accent1 3 4 2 5" xfId="3996" xr:uid="{CCC6932A-E878-43D5-941B-05DEE58912E6}"/>
    <cellStyle name="40% - Accent1 3 4 3" xfId="1103" xr:uid="{249000E2-81C9-4194-91B4-2DB0115B98F2}"/>
    <cellStyle name="40% - Accent1 3 4 4" xfId="1931" xr:uid="{4D065DB8-0724-467D-9B01-C76E77F5784A}"/>
    <cellStyle name="40% - Accent1 3 4 5" xfId="2755" xr:uid="{85AEC4BA-10C1-46C8-8D0B-6E2247AE97E8}"/>
    <cellStyle name="40% - Accent1 3 4 6" xfId="3579" xr:uid="{BACD0103-5241-4E43-B4BF-21C122CFA18B}"/>
    <cellStyle name="40% - Accent1 3 5" xfId="486" xr:uid="{00000000-0005-0000-0000-00009C010000}"/>
    <cellStyle name="40% - Accent1 3 5 2" xfId="1312" xr:uid="{EFE91B4D-8EEC-44DC-BC66-9F0A98BC1C88}"/>
    <cellStyle name="40% - Accent1 3 5 3" xfId="2140" xr:uid="{D2B25A66-3BF0-47EC-AC32-7E8D29A81124}"/>
    <cellStyle name="40% - Accent1 3 5 4" xfId="2964" xr:uid="{D556E0ED-21AA-44E6-B2C8-E1C8ABAB7927}"/>
    <cellStyle name="40% - Accent1 3 5 5" xfId="3788" xr:uid="{CA1FC13F-F3F6-4090-9552-F3C90B3E2993}"/>
    <cellStyle name="40% - Accent1 3 6" xfId="892" xr:uid="{C2229AF8-5399-434B-81B4-A9EA95E34872}"/>
    <cellStyle name="40% - Accent1 3 7" xfId="1720" xr:uid="{AAAD6DB3-46AD-4B82-BEB4-6E3DAC3A4615}"/>
    <cellStyle name="40% - Accent1 3 8" xfId="2544" xr:uid="{15C6904F-A8E3-4C58-B36A-78AF3B58F551}"/>
    <cellStyle name="40% - Accent1 3 9" xfId="3368" xr:uid="{E17251B4-1B08-42E6-8F7C-01AEC508F23A}"/>
    <cellStyle name="40% - Accent1 4" xfId="79" xr:uid="{00000000-0005-0000-0000-00009D010000}"/>
    <cellStyle name="40% - Accent1 4 2" xfId="185" xr:uid="{00000000-0005-0000-0000-00009E010000}"/>
    <cellStyle name="40% - Accent1 4 2 2" xfId="394" xr:uid="{00000000-0005-0000-0000-00009F010000}"/>
    <cellStyle name="40% - Accent1 4 2 2 2" xfId="811" xr:uid="{00000000-0005-0000-0000-0000A0010000}"/>
    <cellStyle name="40% - Accent1 4 2 2 2 2" xfId="1637" xr:uid="{EB4B36E6-5DE0-481D-8330-F58C94C9B93D}"/>
    <cellStyle name="40% - Accent1 4 2 2 2 3" xfId="2465" xr:uid="{76AB30F5-A3E3-4D4B-BE6D-6F61F93E7CCB}"/>
    <cellStyle name="40% - Accent1 4 2 2 2 4" xfId="3289" xr:uid="{CEF43DFB-4F64-4E5C-AD89-D5CF2A03F82A}"/>
    <cellStyle name="40% - Accent1 4 2 2 2 5" xfId="4113" xr:uid="{F87031D9-2E03-436F-8E54-00420CC7EBC6}"/>
    <cellStyle name="40% - Accent1 4 2 2 3" xfId="1220" xr:uid="{23D9EB43-15B6-4FB7-A333-9A78459A6760}"/>
    <cellStyle name="40% - Accent1 4 2 2 4" xfId="2048" xr:uid="{D5ABBF81-5019-4057-A914-1DAEEED69EE3}"/>
    <cellStyle name="40% - Accent1 4 2 2 5" xfId="2872" xr:uid="{CC9BBD56-BD05-4775-934F-A94F3C081346}"/>
    <cellStyle name="40% - Accent1 4 2 2 6" xfId="3696" xr:uid="{2FB74EF2-30DF-48B7-9A81-DDF4122D016C}"/>
    <cellStyle name="40% - Accent1 4 2 3" xfId="603" xr:uid="{00000000-0005-0000-0000-0000A1010000}"/>
    <cellStyle name="40% - Accent1 4 2 3 2" xfId="1429" xr:uid="{A70874DC-A8EB-4B76-A5FA-8063814A0C89}"/>
    <cellStyle name="40% - Accent1 4 2 3 3" xfId="2257" xr:uid="{F5DE681F-86A6-48AD-9F54-DD6E6F43390F}"/>
    <cellStyle name="40% - Accent1 4 2 3 4" xfId="3081" xr:uid="{25FCA206-68A2-4548-87AA-E49E0A99FAB2}"/>
    <cellStyle name="40% - Accent1 4 2 3 5" xfId="3905" xr:uid="{2350260E-A58A-4B8D-B016-5CFFCCCCE0B8}"/>
    <cellStyle name="40% - Accent1 4 2 4" xfId="1011" xr:uid="{1EFA62FE-F256-4BA0-AD5F-7AC4636EDEB9}"/>
    <cellStyle name="40% - Accent1 4 2 5" xfId="1839" xr:uid="{081C0CC6-BF26-4B24-9950-82AD824CD8CC}"/>
    <cellStyle name="40% - Accent1 4 2 6" xfId="2663" xr:uid="{F8D9731D-3D32-4470-99F6-9A2F9053F2E9}"/>
    <cellStyle name="40% - Accent1 4 2 7" xfId="3487" xr:uid="{D3FDE945-25AB-41E2-9A04-60D5224AF1F7}"/>
    <cellStyle name="40% - Accent1 4 3" xfId="290" xr:uid="{00000000-0005-0000-0000-0000A2010000}"/>
    <cellStyle name="40% - Accent1 4 3 2" xfId="707" xr:uid="{00000000-0005-0000-0000-0000A3010000}"/>
    <cellStyle name="40% - Accent1 4 3 2 2" xfId="1533" xr:uid="{34CEB3B9-01F4-4E03-AA52-7CA134826696}"/>
    <cellStyle name="40% - Accent1 4 3 2 3" xfId="2361" xr:uid="{AD926931-41ED-43C8-886A-FF8705A3615A}"/>
    <cellStyle name="40% - Accent1 4 3 2 4" xfId="3185" xr:uid="{943CAB91-70BD-41AA-9CD0-2C2E5AFA1DCB}"/>
    <cellStyle name="40% - Accent1 4 3 2 5" xfId="4009" xr:uid="{FD710A98-D159-4B77-8A07-B71ADFDFE3C7}"/>
    <cellStyle name="40% - Accent1 4 3 3" xfId="1116" xr:uid="{B3F12F63-59EC-41F5-BEE1-77978DACCD5D}"/>
    <cellStyle name="40% - Accent1 4 3 4" xfId="1944" xr:uid="{46A4D8A3-7E99-42C6-9876-D8BF28CADC64}"/>
    <cellStyle name="40% - Accent1 4 3 5" xfId="2768" xr:uid="{9418274B-F4E8-4F24-9C70-754C44FA8A2F}"/>
    <cellStyle name="40% - Accent1 4 3 6" xfId="3592" xr:uid="{978AD05F-00D3-4F48-A024-50568634543C}"/>
    <cellStyle name="40% - Accent1 4 4" xfId="499" xr:uid="{00000000-0005-0000-0000-0000A4010000}"/>
    <cellStyle name="40% - Accent1 4 4 2" xfId="1325" xr:uid="{2A2684EB-02A0-4DEF-986E-B0977E7A0481}"/>
    <cellStyle name="40% - Accent1 4 4 3" xfId="2153" xr:uid="{129AECCB-0A21-44B0-B245-793990FA0B6A}"/>
    <cellStyle name="40% - Accent1 4 4 4" xfId="2977" xr:uid="{CA820EC0-B937-4DC8-83FD-6E5DE0C78557}"/>
    <cellStyle name="40% - Accent1 4 4 5" xfId="3801" xr:uid="{CECBC0AF-1C19-44DB-91E5-49652712759C}"/>
    <cellStyle name="40% - Accent1 4 5" xfId="905" xr:uid="{DCF9317A-7A21-4534-A486-B8B81483FFBB}"/>
    <cellStyle name="40% - Accent1 4 6" xfId="1733" xr:uid="{7A06244A-6FA1-4C06-9AB3-1179EF4E8ED7}"/>
    <cellStyle name="40% - Accent1 4 7" xfId="2557" xr:uid="{F9E3E1E3-1F31-4A5E-B5E9-BFCB261D5E86}"/>
    <cellStyle name="40% - Accent1 4 8" xfId="3381" xr:uid="{C817092A-D585-406B-AA4E-B6D44A7DC118}"/>
    <cellStyle name="40% - Accent1 5" xfId="92" xr:uid="{00000000-0005-0000-0000-0000A5010000}"/>
    <cellStyle name="40% - Accent1 5 2" xfId="197" xr:uid="{00000000-0005-0000-0000-0000A6010000}"/>
    <cellStyle name="40% - Accent1 5 2 2" xfId="406" xr:uid="{00000000-0005-0000-0000-0000A7010000}"/>
    <cellStyle name="40% - Accent1 5 2 2 2" xfId="823" xr:uid="{00000000-0005-0000-0000-0000A8010000}"/>
    <cellStyle name="40% - Accent1 5 2 2 2 2" xfId="1649" xr:uid="{2F8D9259-CF0C-488B-9B99-F51E1E8AC7DF}"/>
    <cellStyle name="40% - Accent1 5 2 2 2 3" xfId="2477" xr:uid="{C2978D38-953F-4399-8BCC-314A6D50B5F9}"/>
    <cellStyle name="40% - Accent1 5 2 2 2 4" xfId="3301" xr:uid="{932897E4-87F9-4EF9-BB22-29DCA3AE249F}"/>
    <cellStyle name="40% - Accent1 5 2 2 2 5" xfId="4125" xr:uid="{B0410821-3E87-4C0F-B43A-DE7247B8E773}"/>
    <cellStyle name="40% - Accent1 5 2 2 3" xfId="1232" xr:uid="{DB1FA534-9CB3-4C44-A691-9FB4EE24CA06}"/>
    <cellStyle name="40% - Accent1 5 2 2 4" xfId="2060" xr:uid="{C631521E-8647-4F8D-ADF4-F000504194DD}"/>
    <cellStyle name="40% - Accent1 5 2 2 5" xfId="2884" xr:uid="{2EECA704-E666-489C-9A02-C6E6AEC87B89}"/>
    <cellStyle name="40% - Accent1 5 2 2 6" xfId="3708" xr:uid="{098D7218-CA83-4A5E-A713-F201218EBB69}"/>
    <cellStyle name="40% - Accent1 5 2 3" xfId="615" xr:uid="{00000000-0005-0000-0000-0000A9010000}"/>
    <cellStyle name="40% - Accent1 5 2 3 2" xfId="1441" xr:uid="{00B338B1-BDAD-4050-B434-4B325775C5C2}"/>
    <cellStyle name="40% - Accent1 5 2 3 3" xfId="2269" xr:uid="{22B2714A-0F9E-42AD-AC4C-2DE94179F5A6}"/>
    <cellStyle name="40% - Accent1 5 2 3 4" xfId="3093" xr:uid="{C53DFB2F-E906-4627-9AC1-C6D6276916EB}"/>
    <cellStyle name="40% - Accent1 5 2 3 5" xfId="3917" xr:uid="{E273A9C7-DE42-4462-9477-A70E781A83C3}"/>
    <cellStyle name="40% - Accent1 5 2 4" xfId="1023" xr:uid="{B9D4B2DB-59D1-4D1D-A2B0-80631F653FFF}"/>
    <cellStyle name="40% - Accent1 5 2 5" xfId="1851" xr:uid="{DAE054A7-FB65-40C9-BC16-B51FDD9A18E7}"/>
    <cellStyle name="40% - Accent1 5 2 6" xfId="2675" xr:uid="{D73D8E0A-5A38-4DEF-A557-7E24BCB6E1E9}"/>
    <cellStyle name="40% - Accent1 5 2 7" xfId="3499" xr:uid="{4514537F-92B1-4105-9CE1-C8226D187347}"/>
    <cellStyle name="40% - Accent1 5 3" xfId="302" xr:uid="{00000000-0005-0000-0000-0000AA010000}"/>
    <cellStyle name="40% - Accent1 5 3 2" xfId="719" xr:uid="{00000000-0005-0000-0000-0000AB010000}"/>
    <cellStyle name="40% - Accent1 5 3 2 2" xfId="1545" xr:uid="{54BC471B-9539-4FFE-9107-F8F0C30C062C}"/>
    <cellStyle name="40% - Accent1 5 3 2 3" xfId="2373" xr:uid="{4F6099B8-A705-4311-8D92-86E28DE38586}"/>
    <cellStyle name="40% - Accent1 5 3 2 4" xfId="3197" xr:uid="{4AFFCD34-0F2E-496B-A80F-E40ABFE9B485}"/>
    <cellStyle name="40% - Accent1 5 3 2 5" xfId="4021" xr:uid="{B631B905-FD1A-42E6-9423-290AE31D17DE}"/>
    <cellStyle name="40% - Accent1 5 3 3" xfId="1128" xr:uid="{DF1D8EE3-21E8-4566-A3DC-DF395E4D7C1F}"/>
    <cellStyle name="40% - Accent1 5 3 4" xfId="1956" xr:uid="{4FE24212-7858-4404-8BC5-3A1C3D11EE4D}"/>
    <cellStyle name="40% - Accent1 5 3 5" xfId="2780" xr:uid="{86AC5B18-FB51-437B-885A-64878089A690}"/>
    <cellStyle name="40% - Accent1 5 3 6" xfId="3604" xr:uid="{F05ED593-C275-4684-A41F-3170A53A0CEE}"/>
    <cellStyle name="40% - Accent1 5 4" xfId="511" xr:uid="{00000000-0005-0000-0000-0000AC010000}"/>
    <cellStyle name="40% - Accent1 5 4 2" xfId="1337" xr:uid="{9FDFE7D3-E407-4880-8174-C0F5222E0627}"/>
    <cellStyle name="40% - Accent1 5 4 3" xfId="2165" xr:uid="{7FB6107D-F824-4A9E-A9C6-2A699AA22B10}"/>
    <cellStyle name="40% - Accent1 5 4 4" xfId="2989" xr:uid="{CE91A59B-FB0C-4D10-97EC-A6278505F6A5}"/>
    <cellStyle name="40% - Accent1 5 4 5" xfId="3813" xr:uid="{16C006B3-7C14-49F9-BAE4-EE6F95D4869B}"/>
    <cellStyle name="40% - Accent1 5 5" xfId="918" xr:uid="{F1B26BAF-A349-43B2-8FCA-A2DBFC760DC0}"/>
    <cellStyle name="40% - Accent1 5 6" xfId="1746" xr:uid="{E8654365-17BB-4694-BFEC-4C2E191B76F2}"/>
    <cellStyle name="40% - Accent1 5 7" xfId="2570" xr:uid="{BA99DB81-D72B-4034-AF63-3948A192FE05}"/>
    <cellStyle name="40% - Accent1 5 8" xfId="3394" xr:uid="{1AD2E136-A33F-4FF9-A9D9-1F092029B690}"/>
    <cellStyle name="40% - Accent1 6" xfId="132" xr:uid="{00000000-0005-0000-0000-0000AD010000}"/>
    <cellStyle name="40% - Accent1 6 2" xfId="342" xr:uid="{00000000-0005-0000-0000-0000AE010000}"/>
    <cellStyle name="40% - Accent1 6 2 2" xfId="759" xr:uid="{00000000-0005-0000-0000-0000AF010000}"/>
    <cellStyle name="40% - Accent1 6 2 2 2" xfId="1585" xr:uid="{D5810ADE-180A-4118-9197-1EF5F01E4D5C}"/>
    <cellStyle name="40% - Accent1 6 2 2 3" xfId="2413" xr:uid="{A87A6C51-710F-4477-B5DD-B98A406833EB}"/>
    <cellStyle name="40% - Accent1 6 2 2 4" xfId="3237" xr:uid="{A91D6F76-BC23-41CF-8496-06AF4624DBB6}"/>
    <cellStyle name="40% - Accent1 6 2 2 5" xfId="4061" xr:uid="{3FDEC125-2B4A-49E0-860A-D8FEF415E55B}"/>
    <cellStyle name="40% - Accent1 6 2 3" xfId="1168" xr:uid="{E4696FB0-BB57-4D5E-BC8E-811CD915AAB9}"/>
    <cellStyle name="40% - Accent1 6 2 4" xfId="1996" xr:uid="{57351130-A6EF-419E-912D-0E9159E634E3}"/>
    <cellStyle name="40% - Accent1 6 2 5" xfId="2820" xr:uid="{1F8B989C-2F0B-4C81-BE3D-1FA6B811690B}"/>
    <cellStyle name="40% - Accent1 6 2 6" xfId="3644" xr:uid="{081BCD7D-85DC-477E-93E8-A6A3CE33FAEE}"/>
    <cellStyle name="40% - Accent1 6 3" xfId="551" xr:uid="{00000000-0005-0000-0000-0000B0010000}"/>
    <cellStyle name="40% - Accent1 6 3 2" xfId="1377" xr:uid="{648B5BF1-1912-4C38-8CF6-640C8A529445}"/>
    <cellStyle name="40% - Accent1 6 3 3" xfId="2205" xr:uid="{EB4912A6-8880-435E-A3E1-883BD1C80BFB}"/>
    <cellStyle name="40% - Accent1 6 3 4" xfId="3029" xr:uid="{288524D3-BD4B-4753-8426-24FDDB476F16}"/>
    <cellStyle name="40% - Accent1 6 3 5" xfId="3853" xr:uid="{FD5A09D6-C2CA-4D95-8B3C-236142E0D2B3}"/>
    <cellStyle name="40% - Accent1 6 4" xfId="958" xr:uid="{3FAC5A3D-B1F8-44C7-B564-7D10490BBDAC}"/>
    <cellStyle name="40% - Accent1 6 5" xfId="1786" xr:uid="{DE917090-90D4-4842-B914-DEC71279B807}"/>
    <cellStyle name="40% - Accent1 6 6" xfId="2610" xr:uid="{785502F5-2419-4CF6-AADA-93C686646378}"/>
    <cellStyle name="40% - Accent1 6 7" xfId="3434" xr:uid="{8AFD1381-7C2B-40F1-ACCA-B0E06DC25595}"/>
    <cellStyle name="40% - Accent1 7" xfId="145" xr:uid="{00000000-0005-0000-0000-0000B1010000}"/>
    <cellStyle name="40% - Accent1 7 2" xfId="354" xr:uid="{00000000-0005-0000-0000-0000B2010000}"/>
    <cellStyle name="40% - Accent1 7 2 2" xfId="771" xr:uid="{00000000-0005-0000-0000-0000B3010000}"/>
    <cellStyle name="40% - Accent1 7 2 2 2" xfId="1597" xr:uid="{90C4A333-F975-401E-BB48-CDEF524D678F}"/>
    <cellStyle name="40% - Accent1 7 2 2 3" xfId="2425" xr:uid="{10797486-9940-49B6-B844-6903F09D9596}"/>
    <cellStyle name="40% - Accent1 7 2 2 4" xfId="3249" xr:uid="{0AE3FB56-9640-43AF-81C7-0C04035B7278}"/>
    <cellStyle name="40% - Accent1 7 2 2 5" xfId="4073" xr:uid="{9BDA9DFE-2E51-4FB0-AE1F-A5F9BA882D7A}"/>
    <cellStyle name="40% - Accent1 7 2 3" xfId="1180" xr:uid="{41B33CA5-E2BA-4472-9023-43488929361D}"/>
    <cellStyle name="40% - Accent1 7 2 4" xfId="2008" xr:uid="{D2D53361-2843-4493-AE99-BC91ADD80526}"/>
    <cellStyle name="40% - Accent1 7 2 5" xfId="2832" xr:uid="{E1783DCC-C569-42A1-92EC-2F80DEADDC6D}"/>
    <cellStyle name="40% - Accent1 7 2 6" xfId="3656" xr:uid="{814BA7B5-7D5B-456E-A624-C262044BA0E3}"/>
    <cellStyle name="40% - Accent1 7 3" xfId="563" xr:uid="{00000000-0005-0000-0000-0000B4010000}"/>
    <cellStyle name="40% - Accent1 7 3 2" xfId="1389" xr:uid="{82C76390-CC07-44DA-8998-9BEF8461DB10}"/>
    <cellStyle name="40% - Accent1 7 3 3" xfId="2217" xr:uid="{399654C3-E0E9-4E59-AE00-81ABCBE0FE27}"/>
    <cellStyle name="40% - Accent1 7 3 4" xfId="3041" xr:uid="{F6943EC6-10DD-406E-9A45-D208C45CC0A9}"/>
    <cellStyle name="40% - Accent1 7 3 5" xfId="3865" xr:uid="{7F17C708-826D-4929-B3D3-F4B19B4C9FED}"/>
    <cellStyle name="40% - Accent1 7 4" xfId="971" xr:uid="{8CAD1417-07AF-46B0-9D49-D511E6C092FA}"/>
    <cellStyle name="40% - Accent1 7 5" xfId="1799" xr:uid="{3307715B-6B00-46A2-B59A-7B9B639FD3C8}"/>
    <cellStyle name="40% - Accent1 7 6" xfId="2623" xr:uid="{150A7C02-34B8-438D-8173-F423E5CC2624}"/>
    <cellStyle name="40% - Accent1 7 7" xfId="3447" xr:uid="{6F8F27C2-0545-4B19-9A37-3F59C7572587}"/>
    <cellStyle name="40% - Accent1 8" xfId="237" xr:uid="{00000000-0005-0000-0000-0000B5010000}"/>
    <cellStyle name="40% - Accent1 8 2" xfId="655" xr:uid="{00000000-0005-0000-0000-0000B6010000}"/>
    <cellStyle name="40% - Accent1 8 2 2" xfId="1481" xr:uid="{DD2DFA9C-5E11-415E-B546-7CB4ECABE64B}"/>
    <cellStyle name="40% - Accent1 8 2 3" xfId="2309" xr:uid="{F6FFEE71-9DAF-469F-98D7-EAD619A253B2}"/>
    <cellStyle name="40% - Accent1 8 2 4" xfId="3133" xr:uid="{DEFE36DD-AADD-4AA0-BD71-4E69A5E49256}"/>
    <cellStyle name="40% - Accent1 8 2 5" xfId="3957" xr:uid="{E0A140A7-7727-4324-A7C1-42FE42DA6E7B}"/>
    <cellStyle name="40% - Accent1 8 3" xfId="1063" xr:uid="{BC7711F5-59CA-4BA3-9DFD-7A09E2A31B1B}"/>
    <cellStyle name="40% - Accent1 8 4" xfId="1891" xr:uid="{8B886767-C7E2-4A76-A8C1-9A821FBF4852}"/>
    <cellStyle name="40% - Accent1 8 5" xfId="2715" xr:uid="{019448BB-751D-4EB9-9E94-8DCC35DC9268}"/>
    <cellStyle name="40% - Accent1 8 6" xfId="3539" xr:uid="{A00BA840-940C-4767-960D-26F2D5CC21B5}"/>
    <cellStyle name="40% - Accent1 9" xfId="250" xr:uid="{00000000-0005-0000-0000-0000B7010000}"/>
    <cellStyle name="40% - Accent1 9 2" xfId="667" xr:uid="{00000000-0005-0000-0000-0000B8010000}"/>
    <cellStyle name="40% - Accent1 9 2 2" xfId="1493" xr:uid="{DFD72AB2-6B1E-4339-BD4C-6D85F4451DB7}"/>
    <cellStyle name="40% - Accent1 9 2 3" xfId="2321" xr:uid="{A671F865-BB76-4569-864C-36BF2F181328}"/>
    <cellStyle name="40% - Accent1 9 2 4" xfId="3145" xr:uid="{1D4A23B6-5971-4BC3-B462-FE64091D4EA5}"/>
    <cellStyle name="40% - Accent1 9 2 5" xfId="3969" xr:uid="{30400B9A-504C-441D-9F92-429ED8A69675}"/>
    <cellStyle name="40% - Accent1 9 3" xfId="1076" xr:uid="{49293457-5397-4AAF-8A94-80643BC8B67A}"/>
    <cellStyle name="40% - Accent1 9 4" xfId="1904" xr:uid="{848B2CC3-4467-43DC-A233-841E9CFE1950}"/>
    <cellStyle name="40% - Accent1 9 5" xfId="2728" xr:uid="{402B5362-FEEA-47CC-B6DF-9693662EAF5F}"/>
    <cellStyle name="40% - Accent1 9 6" xfId="3552" xr:uid="{564EC941-839B-43A5-9296-A95A464681C5}"/>
    <cellStyle name="40% - Accent2" xfId="27" builtinId="35" customBuiltin="1"/>
    <cellStyle name="40% - Accent2 10" xfId="448" xr:uid="{00000000-0005-0000-0000-0000BA010000}"/>
    <cellStyle name="40% - Accent2 10 2" xfId="1274" xr:uid="{BA01A3FD-8149-44C4-88CF-F7CCD702BC75}"/>
    <cellStyle name="40% - Accent2 10 3" xfId="2102" xr:uid="{8C0EC4E9-B607-4AF1-B054-4289EACF6D06}"/>
    <cellStyle name="40% - Accent2 10 4" xfId="2926" xr:uid="{42F0C528-454D-4E46-8114-3AD1738DAD8B}"/>
    <cellStyle name="40% - Accent2 10 5" xfId="3750" xr:uid="{656FE111-FBC4-4B73-8C1B-9F7FFB1273EB}"/>
    <cellStyle name="40% - Accent2 11" xfId="461" xr:uid="{00000000-0005-0000-0000-0000BB010000}"/>
    <cellStyle name="40% - Accent2 11 2" xfId="1287" xr:uid="{0A80B36C-56BE-4CB4-B087-DC1920BF8415}"/>
    <cellStyle name="40% - Accent2 11 3" xfId="2115" xr:uid="{ED1489A5-339F-48B4-B9C2-24F1D9A5D44B}"/>
    <cellStyle name="40% - Accent2 11 4" xfId="2939" xr:uid="{AF03E5FF-C5B4-4CE8-A405-29874F6244C4}"/>
    <cellStyle name="40% - Accent2 11 5" xfId="3763" xr:uid="{CD5F370C-5051-430D-9AC4-AAF6F11107BE}"/>
    <cellStyle name="40% - Accent2 12" xfId="866" xr:uid="{0CFCDEE5-9FAE-4DE4-9357-F298005D2AAD}"/>
    <cellStyle name="40% - Accent2 13" xfId="1695" xr:uid="{7DB2AF78-0324-456D-9576-462ACE3F293B}"/>
    <cellStyle name="40% - Accent2 14" xfId="2519" xr:uid="{1BFFCB92-2BB8-4F0A-B098-821E0594E76A}"/>
    <cellStyle name="40% - Accent2 15" xfId="3343" xr:uid="{60CACF8E-A0BE-4A92-BC0D-406DC67FFE60}"/>
    <cellStyle name="40% - Accent2 2" xfId="55" xr:uid="{00000000-0005-0000-0000-0000BC010000}"/>
    <cellStyle name="40% - Accent2 2 2" xfId="108" xr:uid="{00000000-0005-0000-0000-0000BD010000}"/>
    <cellStyle name="40% - Accent2 2 2 2" xfId="213" xr:uid="{00000000-0005-0000-0000-0000BE010000}"/>
    <cellStyle name="40% - Accent2 2 2 2 2" xfId="422" xr:uid="{00000000-0005-0000-0000-0000BF010000}"/>
    <cellStyle name="40% - Accent2 2 2 2 2 2" xfId="839" xr:uid="{00000000-0005-0000-0000-0000C0010000}"/>
    <cellStyle name="40% - Accent2 2 2 2 2 2 2" xfId="1665" xr:uid="{EEEEF9FD-9053-4262-9980-F20D1EE4CD92}"/>
    <cellStyle name="40% - Accent2 2 2 2 2 2 3" xfId="2493" xr:uid="{0DDBB594-8A82-4A90-83EB-6B625D07DD23}"/>
    <cellStyle name="40% - Accent2 2 2 2 2 2 4" xfId="3317" xr:uid="{FCD6140C-2B38-44C7-A427-5388D67E7EF8}"/>
    <cellStyle name="40% - Accent2 2 2 2 2 2 5" xfId="4141" xr:uid="{990B82BA-B465-461F-90B7-75AB0B958BDC}"/>
    <cellStyle name="40% - Accent2 2 2 2 2 3" xfId="1248" xr:uid="{28F52742-F1B4-4043-808F-BB38D9CAD953}"/>
    <cellStyle name="40% - Accent2 2 2 2 2 4" xfId="2076" xr:uid="{21DEA9E9-EC67-4CA2-8B27-77754581EC02}"/>
    <cellStyle name="40% - Accent2 2 2 2 2 5" xfId="2900" xr:uid="{77061CB9-E5DD-44C8-9C93-5CC1777EA274}"/>
    <cellStyle name="40% - Accent2 2 2 2 2 6" xfId="3724" xr:uid="{C7108CF5-D706-4D07-8FBD-B462BF48F0CD}"/>
    <cellStyle name="40% - Accent2 2 2 2 3" xfId="631" xr:uid="{00000000-0005-0000-0000-0000C1010000}"/>
    <cellStyle name="40% - Accent2 2 2 2 3 2" xfId="1457" xr:uid="{4F18E786-7788-46FE-A412-591AF15028F9}"/>
    <cellStyle name="40% - Accent2 2 2 2 3 3" xfId="2285" xr:uid="{87F29D9A-EB7C-4FC0-83AB-E03FB5263156}"/>
    <cellStyle name="40% - Accent2 2 2 2 3 4" xfId="3109" xr:uid="{5884FC6E-0FEE-4D88-B1C5-F96B58807A39}"/>
    <cellStyle name="40% - Accent2 2 2 2 3 5" xfId="3933" xr:uid="{AF76F536-BC10-4A95-A63D-004F03E95D98}"/>
    <cellStyle name="40% - Accent2 2 2 2 4" xfId="1039" xr:uid="{B8F176AF-A778-4A06-BF00-DE2D1B42AA07}"/>
    <cellStyle name="40% - Accent2 2 2 2 5" xfId="1867" xr:uid="{779DF89D-3D43-4C3C-A75F-2CB833F56602}"/>
    <cellStyle name="40% - Accent2 2 2 2 6" xfId="2691" xr:uid="{03FE546B-F5BA-4561-921A-1D096C447419}"/>
    <cellStyle name="40% - Accent2 2 2 2 7" xfId="3515" xr:uid="{8B71B31B-AC5E-43CB-A860-5A997804A327}"/>
    <cellStyle name="40% - Accent2 2 2 3" xfId="318" xr:uid="{00000000-0005-0000-0000-0000C2010000}"/>
    <cellStyle name="40% - Accent2 2 2 3 2" xfId="735" xr:uid="{00000000-0005-0000-0000-0000C3010000}"/>
    <cellStyle name="40% - Accent2 2 2 3 2 2" xfId="1561" xr:uid="{C47A3BC0-B3EA-43DA-B62C-C275D82135A3}"/>
    <cellStyle name="40% - Accent2 2 2 3 2 3" xfId="2389" xr:uid="{4AE5CF4E-82D8-4302-8B37-4921F58935D1}"/>
    <cellStyle name="40% - Accent2 2 2 3 2 4" xfId="3213" xr:uid="{06EC04CE-43A6-4549-84A2-3222A371B838}"/>
    <cellStyle name="40% - Accent2 2 2 3 2 5" xfId="4037" xr:uid="{C86B9896-C137-479F-A917-4F2DC79B08AE}"/>
    <cellStyle name="40% - Accent2 2 2 3 3" xfId="1144" xr:uid="{D94B5AC2-2DD7-43BD-A247-06EA5F7B3393}"/>
    <cellStyle name="40% - Accent2 2 2 3 4" xfId="1972" xr:uid="{64920358-332C-4439-B60B-2D565E0560C2}"/>
    <cellStyle name="40% - Accent2 2 2 3 5" xfId="2796" xr:uid="{7001CC1F-DD02-4716-A461-4FFC6783D706}"/>
    <cellStyle name="40% - Accent2 2 2 3 6" xfId="3620" xr:uid="{ECB342D5-D91F-4AF0-A6D9-078B9C1C604C}"/>
    <cellStyle name="40% - Accent2 2 2 4" xfId="527" xr:uid="{00000000-0005-0000-0000-0000C4010000}"/>
    <cellStyle name="40% - Accent2 2 2 4 2" xfId="1353" xr:uid="{5AD484A9-FC8D-4B4A-B0BA-7D42E16F682E}"/>
    <cellStyle name="40% - Accent2 2 2 4 3" xfId="2181" xr:uid="{E814C8C8-3A24-4513-807B-94E391CE144E}"/>
    <cellStyle name="40% - Accent2 2 2 4 4" xfId="3005" xr:uid="{FF664352-6DDE-4718-AEEB-0E3C5985E5B3}"/>
    <cellStyle name="40% - Accent2 2 2 4 5" xfId="3829" xr:uid="{6068C6EF-07F3-4C4D-A73D-1253EECA2A18}"/>
    <cellStyle name="40% - Accent2 2 2 5" xfId="934" xr:uid="{909C37DF-D45E-49A1-A5AF-852632A7216B}"/>
    <cellStyle name="40% - Accent2 2 2 6" xfId="1762" xr:uid="{37B33E14-252D-4372-B57B-04B38F550A1A}"/>
    <cellStyle name="40% - Accent2 2 2 7" xfId="2586" xr:uid="{B1D4BED4-1ACF-4F58-BF98-A6B1364305AB}"/>
    <cellStyle name="40% - Accent2 2 2 8" xfId="3410" xr:uid="{BC855BCA-788A-456A-9B7C-0436A229BD06}"/>
    <cellStyle name="40% - Accent2 2 3" xfId="161" xr:uid="{00000000-0005-0000-0000-0000C5010000}"/>
    <cellStyle name="40% - Accent2 2 3 2" xfId="370" xr:uid="{00000000-0005-0000-0000-0000C6010000}"/>
    <cellStyle name="40% - Accent2 2 3 2 2" xfId="787" xr:uid="{00000000-0005-0000-0000-0000C7010000}"/>
    <cellStyle name="40% - Accent2 2 3 2 2 2" xfId="1613" xr:uid="{87DF1E3B-1096-47C1-9F12-78E986E5DEE2}"/>
    <cellStyle name="40% - Accent2 2 3 2 2 3" xfId="2441" xr:uid="{51DD3B71-F040-43A0-9076-3E66B3DABC8D}"/>
    <cellStyle name="40% - Accent2 2 3 2 2 4" xfId="3265" xr:uid="{DC00DCDA-F02D-4A9E-B1CA-AD71DB233336}"/>
    <cellStyle name="40% - Accent2 2 3 2 2 5" xfId="4089" xr:uid="{5C0B975F-F941-40A2-8A3F-9E3059E76A78}"/>
    <cellStyle name="40% - Accent2 2 3 2 3" xfId="1196" xr:uid="{F62B9BD0-453E-4AB7-ABB1-E3244EFE1C30}"/>
    <cellStyle name="40% - Accent2 2 3 2 4" xfId="2024" xr:uid="{10197E76-7C6B-4167-A6F6-991FDFF27B0D}"/>
    <cellStyle name="40% - Accent2 2 3 2 5" xfId="2848" xr:uid="{7E86012B-7BCE-4DC3-A82B-706CDE8CF876}"/>
    <cellStyle name="40% - Accent2 2 3 2 6" xfId="3672" xr:uid="{25DCEDB8-A44C-4356-AB7D-123930D901E2}"/>
    <cellStyle name="40% - Accent2 2 3 3" xfId="579" xr:uid="{00000000-0005-0000-0000-0000C8010000}"/>
    <cellStyle name="40% - Accent2 2 3 3 2" xfId="1405" xr:uid="{B5B71A35-8B1A-4201-9811-0DC8F8BB4303}"/>
    <cellStyle name="40% - Accent2 2 3 3 3" xfId="2233" xr:uid="{0C51383A-AFE0-4340-AA3D-16FCC0D40648}"/>
    <cellStyle name="40% - Accent2 2 3 3 4" xfId="3057" xr:uid="{6591BC9E-D259-424C-B6DB-8C1ADF9550B9}"/>
    <cellStyle name="40% - Accent2 2 3 3 5" xfId="3881" xr:uid="{F43DE2FD-A6FD-4CC9-A22B-555F7179C127}"/>
    <cellStyle name="40% - Accent2 2 3 4" xfId="987" xr:uid="{32B4EED4-859A-4AB6-813E-ED6C80FE2666}"/>
    <cellStyle name="40% - Accent2 2 3 5" xfId="1815" xr:uid="{6BA75B81-9979-48A8-A7CC-E606E261F84F}"/>
    <cellStyle name="40% - Accent2 2 3 6" xfId="2639" xr:uid="{E9606BFE-35EA-4C81-8AB1-8D84E2FF5758}"/>
    <cellStyle name="40% - Accent2 2 3 7" xfId="3463" xr:uid="{167314C9-F72C-43D9-A3F8-10EF2CBA31C6}"/>
    <cellStyle name="40% - Accent2 2 4" xfId="266" xr:uid="{00000000-0005-0000-0000-0000C9010000}"/>
    <cellStyle name="40% - Accent2 2 4 2" xfId="683" xr:uid="{00000000-0005-0000-0000-0000CA010000}"/>
    <cellStyle name="40% - Accent2 2 4 2 2" xfId="1509" xr:uid="{D2B155C4-1143-45FC-A9C6-158BA45CAA6E}"/>
    <cellStyle name="40% - Accent2 2 4 2 3" xfId="2337" xr:uid="{ACDF61F5-D4D7-4E55-BE69-2273E913DF8A}"/>
    <cellStyle name="40% - Accent2 2 4 2 4" xfId="3161" xr:uid="{DF7C516F-7468-4CBE-81A6-69A55AE97360}"/>
    <cellStyle name="40% - Accent2 2 4 2 5" xfId="3985" xr:uid="{CBB2848D-9331-48A6-B531-879A848C7406}"/>
    <cellStyle name="40% - Accent2 2 4 3" xfId="1092" xr:uid="{5D23059C-8206-4238-8421-84D59E258E75}"/>
    <cellStyle name="40% - Accent2 2 4 4" xfId="1920" xr:uid="{C147AFD1-3784-4DEE-B8F8-D6339AF8899F}"/>
    <cellStyle name="40% - Accent2 2 4 5" xfId="2744" xr:uid="{A61C0FE8-791F-4902-B3C8-7AD40FE909A3}"/>
    <cellStyle name="40% - Accent2 2 4 6" xfId="3568" xr:uid="{95700399-CB7A-4414-ACAB-0B48955A6ACD}"/>
    <cellStyle name="40% - Accent2 2 5" xfId="475" xr:uid="{00000000-0005-0000-0000-0000CB010000}"/>
    <cellStyle name="40% - Accent2 2 5 2" xfId="1301" xr:uid="{6F71FE85-A92C-4C0C-BA57-A131F1042EE9}"/>
    <cellStyle name="40% - Accent2 2 5 3" xfId="2129" xr:uid="{E28EBF34-8F43-4897-95D9-9678E970BF08}"/>
    <cellStyle name="40% - Accent2 2 5 4" xfId="2953" xr:uid="{8FA50248-9FA8-49F4-8776-C408E13219F5}"/>
    <cellStyle name="40% - Accent2 2 5 5" xfId="3777" xr:uid="{7CC913FF-5898-409E-8568-A9ABFE0E30B0}"/>
    <cellStyle name="40% - Accent2 2 6" xfId="881" xr:uid="{A24FC5AF-2430-4B08-8424-FADFA018D39D}"/>
    <cellStyle name="40% - Accent2 2 7" xfId="1709" xr:uid="{EB389031-D965-4AEE-AC2E-F1E96A5920EF}"/>
    <cellStyle name="40% - Accent2 2 8" xfId="2533" xr:uid="{DAE095A3-DD7C-4AF6-BDE2-DD6635F5E1CB}"/>
    <cellStyle name="40% - Accent2 2 9" xfId="3357" xr:uid="{C1501572-F6C2-4562-8F5A-9B50E58D561E}"/>
    <cellStyle name="40% - Accent2 3" xfId="68" xr:uid="{00000000-0005-0000-0000-0000CC010000}"/>
    <cellStyle name="40% - Accent2 3 2" xfId="121" xr:uid="{00000000-0005-0000-0000-0000CD010000}"/>
    <cellStyle name="40% - Accent2 3 2 2" xfId="226" xr:uid="{00000000-0005-0000-0000-0000CE010000}"/>
    <cellStyle name="40% - Accent2 3 2 2 2" xfId="435" xr:uid="{00000000-0005-0000-0000-0000CF010000}"/>
    <cellStyle name="40% - Accent2 3 2 2 2 2" xfId="852" xr:uid="{00000000-0005-0000-0000-0000D0010000}"/>
    <cellStyle name="40% - Accent2 3 2 2 2 2 2" xfId="1678" xr:uid="{2D9FD1BB-E607-49EE-BD5E-A5D43895C827}"/>
    <cellStyle name="40% - Accent2 3 2 2 2 2 3" xfId="2506" xr:uid="{7952B577-E62D-4CDC-AEAE-143586B26582}"/>
    <cellStyle name="40% - Accent2 3 2 2 2 2 4" xfId="3330" xr:uid="{7A6DAB23-AD23-41BD-A24E-130DD3406146}"/>
    <cellStyle name="40% - Accent2 3 2 2 2 2 5" xfId="4154" xr:uid="{1BEC2B6C-52D3-4C28-85F8-39C0B2749687}"/>
    <cellStyle name="40% - Accent2 3 2 2 2 3" xfId="1261" xr:uid="{D20B4347-942C-4B7C-88EE-FAE1F485FDA5}"/>
    <cellStyle name="40% - Accent2 3 2 2 2 4" xfId="2089" xr:uid="{8EB6E8D7-A810-4570-BF46-27676424A402}"/>
    <cellStyle name="40% - Accent2 3 2 2 2 5" xfId="2913" xr:uid="{671F8676-FAC7-422D-9EAF-537F530C51C3}"/>
    <cellStyle name="40% - Accent2 3 2 2 2 6" xfId="3737" xr:uid="{4815C493-4089-4A2C-B9F6-7710D9C8A27E}"/>
    <cellStyle name="40% - Accent2 3 2 2 3" xfId="644" xr:uid="{00000000-0005-0000-0000-0000D1010000}"/>
    <cellStyle name="40% - Accent2 3 2 2 3 2" xfId="1470" xr:uid="{0AA184BC-EAA7-47C1-B355-941C916E3990}"/>
    <cellStyle name="40% - Accent2 3 2 2 3 3" xfId="2298" xr:uid="{D91246AD-CB69-47E8-9724-A88A8B0F3E4E}"/>
    <cellStyle name="40% - Accent2 3 2 2 3 4" xfId="3122" xr:uid="{B22B677B-5379-40AC-AD48-EED1BE028855}"/>
    <cellStyle name="40% - Accent2 3 2 2 3 5" xfId="3946" xr:uid="{01D735D8-3607-4977-AD12-3DD261AA95B1}"/>
    <cellStyle name="40% - Accent2 3 2 2 4" xfId="1052" xr:uid="{CF9E9683-C1DA-4C09-A8B9-35FC9DF9887A}"/>
    <cellStyle name="40% - Accent2 3 2 2 5" xfId="1880" xr:uid="{7132DF8F-1941-4D50-844F-A6445013ABBB}"/>
    <cellStyle name="40% - Accent2 3 2 2 6" xfId="2704" xr:uid="{D24B032A-010E-40C4-8B59-3AAED738AF5B}"/>
    <cellStyle name="40% - Accent2 3 2 2 7" xfId="3528" xr:uid="{81CE440D-6345-4DEA-BB8E-91F3B5ADEAA1}"/>
    <cellStyle name="40% - Accent2 3 2 3" xfId="331" xr:uid="{00000000-0005-0000-0000-0000D2010000}"/>
    <cellStyle name="40% - Accent2 3 2 3 2" xfId="748" xr:uid="{00000000-0005-0000-0000-0000D3010000}"/>
    <cellStyle name="40% - Accent2 3 2 3 2 2" xfId="1574" xr:uid="{AB4504B3-C87C-47E2-9EB9-915757AE8965}"/>
    <cellStyle name="40% - Accent2 3 2 3 2 3" xfId="2402" xr:uid="{88CBD8AA-2525-4B21-876F-C6B742BD8603}"/>
    <cellStyle name="40% - Accent2 3 2 3 2 4" xfId="3226" xr:uid="{CC8E7642-3A8A-44E4-8CBF-E82AEC26F840}"/>
    <cellStyle name="40% - Accent2 3 2 3 2 5" xfId="4050" xr:uid="{DAAAD017-6D7A-4757-9E71-7B75471F5939}"/>
    <cellStyle name="40% - Accent2 3 2 3 3" xfId="1157" xr:uid="{9C6BA364-C0F3-4DB2-B91F-221976404481}"/>
    <cellStyle name="40% - Accent2 3 2 3 4" xfId="1985" xr:uid="{8A1F577D-909A-4E2F-B159-841C15575930}"/>
    <cellStyle name="40% - Accent2 3 2 3 5" xfId="2809" xr:uid="{136AD181-157C-4AD7-B734-91EBF02999AD}"/>
    <cellStyle name="40% - Accent2 3 2 3 6" xfId="3633" xr:uid="{8F8CDFE4-F019-4EF8-AFA5-E9B72F796807}"/>
    <cellStyle name="40% - Accent2 3 2 4" xfId="540" xr:uid="{00000000-0005-0000-0000-0000D4010000}"/>
    <cellStyle name="40% - Accent2 3 2 4 2" xfId="1366" xr:uid="{3D58D3EB-45A8-48F3-BC5B-BBC83F9A9861}"/>
    <cellStyle name="40% - Accent2 3 2 4 3" xfId="2194" xr:uid="{718F5873-A00C-4C22-9B72-86639530895F}"/>
    <cellStyle name="40% - Accent2 3 2 4 4" xfId="3018" xr:uid="{F8248732-B93E-4D8C-8059-0C46E4604071}"/>
    <cellStyle name="40% - Accent2 3 2 4 5" xfId="3842" xr:uid="{1B0A62AC-11C9-4955-A255-B89D24409215}"/>
    <cellStyle name="40% - Accent2 3 2 5" xfId="947" xr:uid="{3B8C6260-982C-48B9-998B-3A1C4134CF63}"/>
    <cellStyle name="40% - Accent2 3 2 6" xfId="1775" xr:uid="{6DDAEA96-14CF-4514-AAC2-6BA95D261A14}"/>
    <cellStyle name="40% - Accent2 3 2 7" xfId="2599" xr:uid="{71B56D8A-CE84-423B-A5A7-506C4FAF1956}"/>
    <cellStyle name="40% - Accent2 3 2 8" xfId="3423" xr:uid="{8A08E4FC-3E9B-40F1-9E7D-6A2E9EE07833}"/>
    <cellStyle name="40% - Accent2 3 3" xfId="174" xr:uid="{00000000-0005-0000-0000-0000D5010000}"/>
    <cellStyle name="40% - Accent2 3 3 2" xfId="383" xr:uid="{00000000-0005-0000-0000-0000D6010000}"/>
    <cellStyle name="40% - Accent2 3 3 2 2" xfId="800" xr:uid="{00000000-0005-0000-0000-0000D7010000}"/>
    <cellStyle name="40% - Accent2 3 3 2 2 2" xfId="1626" xr:uid="{3C8D5295-A667-4B6B-A8DB-D0F6BC1C61E5}"/>
    <cellStyle name="40% - Accent2 3 3 2 2 3" xfId="2454" xr:uid="{AFF7D2F5-E942-441F-99E5-599AC95FB117}"/>
    <cellStyle name="40% - Accent2 3 3 2 2 4" xfId="3278" xr:uid="{8DB295B5-3E1C-48D7-A36C-97E755FD10F8}"/>
    <cellStyle name="40% - Accent2 3 3 2 2 5" xfId="4102" xr:uid="{2EF69B05-1B2A-47CC-A33E-43F7B6B4DF51}"/>
    <cellStyle name="40% - Accent2 3 3 2 3" xfId="1209" xr:uid="{2E6FF006-8BF0-4FAB-85D2-0D650B255CC0}"/>
    <cellStyle name="40% - Accent2 3 3 2 4" xfId="2037" xr:uid="{68C03AAE-78BC-4F29-AF30-44FA9B5F1CEF}"/>
    <cellStyle name="40% - Accent2 3 3 2 5" xfId="2861" xr:uid="{93C9EE83-874E-4149-B1C8-67DE30C03911}"/>
    <cellStyle name="40% - Accent2 3 3 2 6" xfId="3685" xr:uid="{C5F2270F-F781-4B4B-A03F-841C064362D0}"/>
    <cellStyle name="40% - Accent2 3 3 3" xfId="592" xr:uid="{00000000-0005-0000-0000-0000D8010000}"/>
    <cellStyle name="40% - Accent2 3 3 3 2" xfId="1418" xr:uid="{002113C0-5936-402C-AACE-489D4FA7FF30}"/>
    <cellStyle name="40% - Accent2 3 3 3 3" xfId="2246" xr:uid="{38F14BCE-9D91-4776-9497-83FCB2F2F5EC}"/>
    <cellStyle name="40% - Accent2 3 3 3 4" xfId="3070" xr:uid="{293FBF24-4040-4ADB-96D4-72225BE400A3}"/>
    <cellStyle name="40% - Accent2 3 3 3 5" xfId="3894" xr:uid="{9D242F44-13E4-49E2-99C3-450B934B4625}"/>
    <cellStyle name="40% - Accent2 3 3 4" xfId="1000" xr:uid="{110B7441-85AB-440F-8223-BFA6FC48BBF5}"/>
    <cellStyle name="40% - Accent2 3 3 5" xfId="1828" xr:uid="{02C2AB08-366E-48D9-8FB4-2D00968FFB86}"/>
    <cellStyle name="40% - Accent2 3 3 6" xfId="2652" xr:uid="{FA1A4E20-667D-41DE-BF79-C1F9E7F24290}"/>
    <cellStyle name="40% - Accent2 3 3 7" xfId="3476" xr:uid="{0F0B8513-A511-4931-9265-85CD3022AF3F}"/>
    <cellStyle name="40% - Accent2 3 4" xfId="279" xr:uid="{00000000-0005-0000-0000-0000D9010000}"/>
    <cellStyle name="40% - Accent2 3 4 2" xfId="696" xr:uid="{00000000-0005-0000-0000-0000DA010000}"/>
    <cellStyle name="40% - Accent2 3 4 2 2" xfId="1522" xr:uid="{FEE4DBCF-4816-4B7A-B787-F8C433B32585}"/>
    <cellStyle name="40% - Accent2 3 4 2 3" xfId="2350" xr:uid="{445D0029-03DF-4716-A7C4-C20522D01738}"/>
    <cellStyle name="40% - Accent2 3 4 2 4" xfId="3174" xr:uid="{BB70F2E2-C44A-44D4-AE50-A741DE734EC7}"/>
    <cellStyle name="40% - Accent2 3 4 2 5" xfId="3998" xr:uid="{B061DCE3-A18B-4481-A5C4-C8FF3B8D3BFF}"/>
    <cellStyle name="40% - Accent2 3 4 3" xfId="1105" xr:uid="{7916B8F1-EB7D-4063-B526-521FCDE85BCD}"/>
    <cellStyle name="40% - Accent2 3 4 4" xfId="1933" xr:uid="{39D28D05-36AA-43EA-9ED0-34E1FBB3A517}"/>
    <cellStyle name="40% - Accent2 3 4 5" xfId="2757" xr:uid="{94998D9D-8609-4DFC-9562-D811F3ABA27E}"/>
    <cellStyle name="40% - Accent2 3 4 6" xfId="3581" xr:uid="{39858A3E-08AC-417F-B009-B8165B5AC047}"/>
    <cellStyle name="40% - Accent2 3 5" xfId="488" xr:uid="{00000000-0005-0000-0000-0000DB010000}"/>
    <cellStyle name="40% - Accent2 3 5 2" xfId="1314" xr:uid="{8E9F6DFD-E2A9-4D9B-8342-BE8C390DF409}"/>
    <cellStyle name="40% - Accent2 3 5 3" xfId="2142" xr:uid="{5834621C-F0B6-4FE6-8B35-F8AD0C356477}"/>
    <cellStyle name="40% - Accent2 3 5 4" xfId="2966" xr:uid="{9755F7ED-B8AF-44D0-9C06-23F461307A50}"/>
    <cellStyle name="40% - Accent2 3 5 5" xfId="3790" xr:uid="{30C0AD6E-7A74-47AD-AB19-3013CE10C137}"/>
    <cellStyle name="40% - Accent2 3 6" xfId="894" xr:uid="{F4163F12-8632-4174-A171-9ACBA05C7988}"/>
    <cellStyle name="40% - Accent2 3 7" xfId="1722" xr:uid="{1DFF378E-51B0-46AD-B07F-9D7A01D6149E}"/>
    <cellStyle name="40% - Accent2 3 8" xfId="2546" xr:uid="{E4779E47-F4B2-4E90-A25F-CA6EA0FB015B}"/>
    <cellStyle name="40% - Accent2 3 9" xfId="3370" xr:uid="{9838C4A5-D5F5-42A6-A67E-E672C19D5BAE}"/>
    <cellStyle name="40% - Accent2 4" xfId="81" xr:uid="{00000000-0005-0000-0000-0000DC010000}"/>
    <cellStyle name="40% - Accent2 4 2" xfId="187" xr:uid="{00000000-0005-0000-0000-0000DD010000}"/>
    <cellStyle name="40% - Accent2 4 2 2" xfId="396" xr:uid="{00000000-0005-0000-0000-0000DE010000}"/>
    <cellStyle name="40% - Accent2 4 2 2 2" xfId="813" xr:uid="{00000000-0005-0000-0000-0000DF010000}"/>
    <cellStyle name="40% - Accent2 4 2 2 2 2" xfId="1639" xr:uid="{2989CD11-38A3-4FC4-8CCA-269669E146D2}"/>
    <cellStyle name="40% - Accent2 4 2 2 2 3" xfId="2467" xr:uid="{D2A157F5-FF69-412A-84D5-A9B6464D48BF}"/>
    <cellStyle name="40% - Accent2 4 2 2 2 4" xfId="3291" xr:uid="{94C36295-8FDF-4BAF-8241-67CB68DF21E0}"/>
    <cellStyle name="40% - Accent2 4 2 2 2 5" xfId="4115" xr:uid="{00D50197-C74E-4328-B272-FB221A2EB004}"/>
    <cellStyle name="40% - Accent2 4 2 2 3" xfId="1222" xr:uid="{F24BB91A-7AD6-46F1-81BD-9F57F1924873}"/>
    <cellStyle name="40% - Accent2 4 2 2 4" xfId="2050" xr:uid="{35D7EBF9-9764-46B2-8DFB-8AC30CF2BDD4}"/>
    <cellStyle name="40% - Accent2 4 2 2 5" xfId="2874" xr:uid="{A4AA4849-F7A2-4C69-AEA9-7E649F1C4803}"/>
    <cellStyle name="40% - Accent2 4 2 2 6" xfId="3698" xr:uid="{B5F7839F-2E1D-48C3-87B7-4A272ED6B0E6}"/>
    <cellStyle name="40% - Accent2 4 2 3" xfId="605" xr:uid="{00000000-0005-0000-0000-0000E0010000}"/>
    <cellStyle name="40% - Accent2 4 2 3 2" xfId="1431" xr:uid="{60DBA274-CCC1-4CD4-99BB-017C627BE8C8}"/>
    <cellStyle name="40% - Accent2 4 2 3 3" xfId="2259" xr:uid="{61CDD337-2523-4BA2-A744-0CEF982B3FE2}"/>
    <cellStyle name="40% - Accent2 4 2 3 4" xfId="3083" xr:uid="{BE054EB8-4F28-421F-A008-09EE760EE6A4}"/>
    <cellStyle name="40% - Accent2 4 2 3 5" xfId="3907" xr:uid="{F8A57C00-AF2E-4147-BC25-64BC976045AF}"/>
    <cellStyle name="40% - Accent2 4 2 4" xfId="1013" xr:uid="{F1291CCC-3EF1-44A4-A712-1EFD353389D5}"/>
    <cellStyle name="40% - Accent2 4 2 5" xfId="1841" xr:uid="{6E602DDD-1D9A-431B-BED0-5D805758D3A0}"/>
    <cellStyle name="40% - Accent2 4 2 6" xfId="2665" xr:uid="{FC2C1B5A-C7DF-493B-976D-167141D3A6D2}"/>
    <cellStyle name="40% - Accent2 4 2 7" xfId="3489" xr:uid="{AF841BDD-8CB6-466F-9F54-D946488F0A9B}"/>
    <cellStyle name="40% - Accent2 4 3" xfId="292" xr:uid="{00000000-0005-0000-0000-0000E1010000}"/>
    <cellStyle name="40% - Accent2 4 3 2" xfId="709" xr:uid="{00000000-0005-0000-0000-0000E2010000}"/>
    <cellStyle name="40% - Accent2 4 3 2 2" xfId="1535" xr:uid="{B0834540-D9CD-4D41-95E5-B1655D20D3F4}"/>
    <cellStyle name="40% - Accent2 4 3 2 3" xfId="2363" xr:uid="{72976758-E6F3-4455-A7FF-769564BA765E}"/>
    <cellStyle name="40% - Accent2 4 3 2 4" xfId="3187" xr:uid="{8E2D19B7-2940-49F1-B9E5-B95F855B310D}"/>
    <cellStyle name="40% - Accent2 4 3 2 5" xfId="4011" xr:uid="{48C29E76-EDA8-45D3-8EE8-2C3E0B7B30F3}"/>
    <cellStyle name="40% - Accent2 4 3 3" xfId="1118" xr:uid="{0254A6B9-84EF-4453-8269-1339CA8BCF10}"/>
    <cellStyle name="40% - Accent2 4 3 4" xfId="1946" xr:uid="{DE264F71-C4BA-4713-A079-A5233E55E0ED}"/>
    <cellStyle name="40% - Accent2 4 3 5" xfId="2770" xr:uid="{D2A9B97A-E2F9-4E69-B541-FFBD8EF8D430}"/>
    <cellStyle name="40% - Accent2 4 3 6" xfId="3594" xr:uid="{9710F206-1CD0-4B8E-89AE-C3793A72C86C}"/>
    <cellStyle name="40% - Accent2 4 4" xfId="501" xr:uid="{00000000-0005-0000-0000-0000E3010000}"/>
    <cellStyle name="40% - Accent2 4 4 2" xfId="1327" xr:uid="{6CEDAC7F-1262-4B06-9FEF-DF52380CF9AE}"/>
    <cellStyle name="40% - Accent2 4 4 3" xfId="2155" xr:uid="{7BB4BC2B-56FB-41F6-9BB5-2ECE35DA1853}"/>
    <cellStyle name="40% - Accent2 4 4 4" xfId="2979" xr:uid="{F066D5F1-9D9B-4129-AE7B-C261DA2CBF05}"/>
    <cellStyle name="40% - Accent2 4 4 5" xfId="3803" xr:uid="{FB78E09F-857B-4A2E-851D-C5D5E66774A9}"/>
    <cellStyle name="40% - Accent2 4 5" xfId="907" xr:uid="{2CD2E38A-66A0-45E2-B659-BB4FF22055BC}"/>
    <cellStyle name="40% - Accent2 4 6" xfId="1735" xr:uid="{441AAF42-C780-4ED0-B7B6-A9A39BCEDED2}"/>
    <cellStyle name="40% - Accent2 4 7" xfId="2559" xr:uid="{6BA1B65F-B68A-472C-82F4-5BF4227B78F4}"/>
    <cellStyle name="40% - Accent2 4 8" xfId="3383" xr:uid="{BB8E5D73-D485-425C-8520-D1C5F1A828E1}"/>
    <cellStyle name="40% - Accent2 5" xfId="94" xr:uid="{00000000-0005-0000-0000-0000E4010000}"/>
    <cellStyle name="40% - Accent2 5 2" xfId="199" xr:uid="{00000000-0005-0000-0000-0000E5010000}"/>
    <cellStyle name="40% - Accent2 5 2 2" xfId="408" xr:uid="{00000000-0005-0000-0000-0000E6010000}"/>
    <cellStyle name="40% - Accent2 5 2 2 2" xfId="825" xr:uid="{00000000-0005-0000-0000-0000E7010000}"/>
    <cellStyle name="40% - Accent2 5 2 2 2 2" xfId="1651" xr:uid="{36C5AC10-100B-478F-BFE6-E11688B0DBB0}"/>
    <cellStyle name="40% - Accent2 5 2 2 2 3" xfId="2479" xr:uid="{34E50911-72AC-46A0-9419-2353EEBD6E76}"/>
    <cellStyle name="40% - Accent2 5 2 2 2 4" xfId="3303" xr:uid="{1B703CEF-A5FD-4CE3-831D-D3618639595D}"/>
    <cellStyle name="40% - Accent2 5 2 2 2 5" xfId="4127" xr:uid="{C93DFDC2-66A3-436E-8724-28A347215958}"/>
    <cellStyle name="40% - Accent2 5 2 2 3" xfId="1234" xr:uid="{EFD02573-B6CE-4D4E-95D7-B855EB870325}"/>
    <cellStyle name="40% - Accent2 5 2 2 4" xfId="2062" xr:uid="{D8B395B9-7FC8-49D7-9DF4-76A69E005A19}"/>
    <cellStyle name="40% - Accent2 5 2 2 5" xfId="2886" xr:uid="{FA03DDFA-6027-4287-8E75-D51B05FAA2D7}"/>
    <cellStyle name="40% - Accent2 5 2 2 6" xfId="3710" xr:uid="{50CFA0CD-0BBE-4F0D-8933-07AE95099FAA}"/>
    <cellStyle name="40% - Accent2 5 2 3" xfId="617" xr:uid="{00000000-0005-0000-0000-0000E8010000}"/>
    <cellStyle name="40% - Accent2 5 2 3 2" xfId="1443" xr:uid="{72F892E8-53F9-438A-9ECF-2E986EB13022}"/>
    <cellStyle name="40% - Accent2 5 2 3 3" xfId="2271" xr:uid="{EEE4F649-6429-400A-9C45-611C0B03BEF8}"/>
    <cellStyle name="40% - Accent2 5 2 3 4" xfId="3095" xr:uid="{17227C95-3DA8-4A5C-B3C6-96FC12DA407F}"/>
    <cellStyle name="40% - Accent2 5 2 3 5" xfId="3919" xr:uid="{7D2D655F-F76A-481B-8A5E-9A327DBB6A67}"/>
    <cellStyle name="40% - Accent2 5 2 4" xfId="1025" xr:uid="{CE1C6081-09E3-4844-B39A-EA81E2AF24BB}"/>
    <cellStyle name="40% - Accent2 5 2 5" xfId="1853" xr:uid="{33521CE6-ED32-47F8-B0A6-52FC57D038C3}"/>
    <cellStyle name="40% - Accent2 5 2 6" xfId="2677" xr:uid="{0215D264-F1FE-4F38-861C-2074827B185D}"/>
    <cellStyle name="40% - Accent2 5 2 7" xfId="3501" xr:uid="{F9E3B79E-69B2-4137-A67B-EEDFF90B06E8}"/>
    <cellStyle name="40% - Accent2 5 3" xfId="304" xr:uid="{00000000-0005-0000-0000-0000E9010000}"/>
    <cellStyle name="40% - Accent2 5 3 2" xfId="721" xr:uid="{00000000-0005-0000-0000-0000EA010000}"/>
    <cellStyle name="40% - Accent2 5 3 2 2" xfId="1547" xr:uid="{8E78C5B5-8387-4E4A-8C55-41A4CD599CBE}"/>
    <cellStyle name="40% - Accent2 5 3 2 3" xfId="2375" xr:uid="{085765D3-3CBE-469E-9F37-8DDF9498E765}"/>
    <cellStyle name="40% - Accent2 5 3 2 4" xfId="3199" xr:uid="{E10FCDC4-8823-476C-99A9-FFA84A152451}"/>
    <cellStyle name="40% - Accent2 5 3 2 5" xfId="4023" xr:uid="{48593549-3ED9-45B0-BE03-F0A0C4972CBB}"/>
    <cellStyle name="40% - Accent2 5 3 3" xfId="1130" xr:uid="{292A817B-E2C5-49A9-AAB2-EC3C79455CBC}"/>
    <cellStyle name="40% - Accent2 5 3 4" xfId="1958" xr:uid="{29064B87-A2C7-4422-9D3E-DB6883C2675F}"/>
    <cellStyle name="40% - Accent2 5 3 5" xfId="2782" xr:uid="{490BFF27-A78A-430A-97D4-3E0D61E5CCB0}"/>
    <cellStyle name="40% - Accent2 5 3 6" xfId="3606" xr:uid="{25113B2A-2436-4E2B-A15C-C78792ED1FA9}"/>
    <cellStyle name="40% - Accent2 5 4" xfId="513" xr:uid="{00000000-0005-0000-0000-0000EB010000}"/>
    <cellStyle name="40% - Accent2 5 4 2" xfId="1339" xr:uid="{A923C0CF-D1B1-47B2-8894-3A714413D161}"/>
    <cellStyle name="40% - Accent2 5 4 3" xfId="2167" xr:uid="{887B99D9-14A8-48C4-BAB6-40B7BF143ED2}"/>
    <cellStyle name="40% - Accent2 5 4 4" xfId="2991" xr:uid="{7B93502C-D3FF-457F-85C5-5EB4CCB8908A}"/>
    <cellStyle name="40% - Accent2 5 4 5" xfId="3815" xr:uid="{E5F1238D-9A8E-4F27-B80C-EA841AFD78FA}"/>
    <cellStyle name="40% - Accent2 5 5" xfId="920" xr:uid="{790431E9-1045-4BA8-8559-9AEA642F5CB7}"/>
    <cellStyle name="40% - Accent2 5 6" xfId="1748" xr:uid="{C68798E9-8570-4A7B-AB07-1522DD8310BE}"/>
    <cellStyle name="40% - Accent2 5 7" xfId="2572" xr:uid="{8E964413-4A3A-4B32-B7A5-5412E5167C6C}"/>
    <cellStyle name="40% - Accent2 5 8" xfId="3396" xr:uid="{2770E15B-E325-43A6-8030-77273617A948}"/>
    <cellStyle name="40% - Accent2 6" xfId="134" xr:uid="{00000000-0005-0000-0000-0000EC010000}"/>
    <cellStyle name="40% - Accent2 6 2" xfId="344" xr:uid="{00000000-0005-0000-0000-0000ED010000}"/>
    <cellStyle name="40% - Accent2 6 2 2" xfId="761" xr:uid="{00000000-0005-0000-0000-0000EE010000}"/>
    <cellStyle name="40% - Accent2 6 2 2 2" xfId="1587" xr:uid="{DA8D2975-7E5B-488C-B8E6-791D2572F24D}"/>
    <cellStyle name="40% - Accent2 6 2 2 3" xfId="2415" xr:uid="{B9C3AF31-FC9B-48AC-B5CC-EA5DE3B30965}"/>
    <cellStyle name="40% - Accent2 6 2 2 4" xfId="3239" xr:uid="{3B4061DF-C703-4D3A-BF53-C75F2F51A053}"/>
    <cellStyle name="40% - Accent2 6 2 2 5" xfId="4063" xr:uid="{535C87F6-A209-44FF-B4E4-AD6D5E8853BF}"/>
    <cellStyle name="40% - Accent2 6 2 3" xfId="1170" xr:uid="{E913587C-2909-4402-B100-2658F2D7982D}"/>
    <cellStyle name="40% - Accent2 6 2 4" xfId="1998" xr:uid="{6ABC1C7A-48F3-4EE5-ABF9-CB3517A90E2E}"/>
    <cellStyle name="40% - Accent2 6 2 5" xfId="2822" xr:uid="{476481AB-2735-4E53-97B8-FC4115EEAE8A}"/>
    <cellStyle name="40% - Accent2 6 2 6" xfId="3646" xr:uid="{BFFD0DED-AB88-45B1-97AB-A10C7C303BD9}"/>
    <cellStyle name="40% - Accent2 6 3" xfId="553" xr:uid="{00000000-0005-0000-0000-0000EF010000}"/>
    <cellStyle name="40% - Accent2 6 3 2" xfId="1379" xr:uid="{3C36A279-C641-4B7B-87A5-227BDB9BB529}"/>
    <cellStyle name="40% - Accent2 6 3 3" xfId="2207" xr:uid="{CEDE3BC6-AC9E-4513-8BEA-4C8F59B5B569}"/>
    <cellStyle name="40% - Accent2 6 3 4" xfId="3031" xr:uid="{4469BF01-B92F-44B0-B335-E45FD7DC0157}"/>
    <cellStyle name="40% - Accent2 6 3 5" xfId="3855" xr:uid="{08D44A8B-34E9-409B-BBA7-3D99F68542CB}"/>
    <cellStyle name="40% - Accent2 6 4" xfId="960" xr:uid="{0C700CBD-142B-444C-8D51-07B8B928C95E}"/>
    <cellStyle name="40% - Accent2 6 5" xfId="1788" xr:uid="{47106584-780B-4A42-81A0-4E51F9554D40}"/>
    <cellStyle name="40% - Accent2 6 6" xfId="2612" xr:uid="{FC19327B-454C-451D-9519-A59620C94F23}"/>
    <cellStyle name="40% - Accent2 6 7" xfId="3436" xr:uid="{E0EC844B-08E0-4D7A-B7E8-69F2039D7FFC}"/>
    <cellStyle name="40% - Accent2 7" xfId="147" xr:uid="{00000000-0005-0000-0000-0000F0010000}"/>
    <cellStyle name="40% - Accent2 7 2" xfId="356" xr:uid="{00000000-0005-0000-0000-0000F1010000}"/>
    <cellStyle name="40% - Accent2 7 2 2" xfId="773" xr:uid="{00000000-0005-0000-0000-0000F2010000}"/>
    <cellStyle name="40% - Accent2 7 2 2 2" xfId="1599" xr:uid="{83509FF1-590A-4FCA-B039-E467DD7A90AA}"/>
    <cellStyle name="40% - Accent2 7 2 2 3" xfId="2427" xr:uid="{876E2444-9AD3-49D8-8DBA-8E81264400C9}"/>
    <cellStyle name="40% - Accent2 7 2 2 4" xfId="3251" xr:uid="{CC2D1001-D1DF-48A2-A1EF-39886DE8F4F0}"/>
    <cellStyle name="40% - Accent2 7 2 2 5" xfId="4075" xr:uid="{D55938F1-366D-4AF7-B79A-CC204BD51335}"/>
    <cellStyle name="40% - Accent2 7 2 3" xfId="1182" xr:uid="{763713D2-A3D1-4F50-A7DD-23FE4F4F8052}"/>
    <cellStyle name="40% - Accent2 7 2 4" xfId="2010" xr:uid="{BE3E00A1-A252-4D6E-AF82-23F5039B8337}"/>
    <cellStyle name="40% - Accent2 7 2 5" xfId="2834" xr:uid="{FE7F9B17-FFD3-4C11-9324-559B4E00F0B0}"/>
    <cellStyle name="40% - Accent2 7 2 6" xfId="3658" xr:uid="{9989F806-7C46-4F56-A0C1-D18341ED2ED2}"/>
    <cellStyle name="40% - Accent2 7 3" xfId="565" xr:uid="{00000000-0005-0000-0000-0000F3010000}"/>
    <cellStyle name="40% - Accent2 7 3 2" xfId="1391" xr:uid="{27C6E92B-6A74-428F-8790-AC74121A804C}"/>
    <cellStyle name="40% - Accent2 7 3 3" xfId="2219" xr:uid="{ED51E8A2-1EA8-4025-ADFD-B9ADEBB9FF64}"/>
    <cellStyle name="40% - Accent2 7 3 4" xfId="3043" xr:uid="{67BA5666-5395-4523-8173-95AA1A2DA17F}"/>
    <cellStyle name="40% - Accent2 7 3 5" xfId="3867" xr:uid="{146FD1DE-E581-4FDF-9DE1-056EB94CA1F7}"/>
    <cellStyle name="40% - Accent2 7 4" xfId="973" xr:uid="{5BE15724-BE34-4E44-8F42-823CA0F9FC9C}"/>
    <cellStyle name="40% - Accent2 7 5" xfId="1801" xr:uid="{24E6F2DE-D517-4BD4-80AD-66362496B83C}"/>
    <cellStyle name="40% - Accent2 7 6" xfId="2625" xr:uid="{40B96D49-9D88-4C3E-877E-6A7063A87AE0}"/>
    <cellStyle name="40% - Accent2 7 7" xfId="3449" xr:uid="{3F4D1820-906E-4963-9EA8-A56C068C859B}"/>
    <cellStyle name="40% - Accent2 8" xfId="239" xr:uid="{00000000-0005-0000-0000-0000F4010000}"/>
    <cellStyle name="40% - Accent2 8 2" xfId="657" xr:uid="{00000000-0005-0000-0000-0000F5010000}"/>
    <cellStyle name="40% - Accent2 8 2 2" xfId="1483" xr:uid="{D533CE05-9B59-4F02-AA85-B27E61F9F4BC}"/>
    <cellStyle name="40% - Accent2 8 2 3" xfId="2311" xr:uid="{C143A11B-3606-4C58-BB18-1D2EDAD36477}"/>
    <cellStyle name="40% - Accent2 8 2 4" xfId="3135" xr:uid="{9D73065C-64BD-4A1B-8643-09F43A208755}"/>
    <cellStyle name="40% - Accent2 8 2 5" xfId="3959" xr:uid="{CC662B9C-F244-462C-BBA9-CDF48B0A283A}"/>
    <cellStyle name="40% - Accent2 8 3" xfId="1065" xr:uid="{CA543A4B-230F-48E0-BF51-72F7FC4F43CC}"/>
    <cellStyle name="40% - Accent2 8 4" xfId="1893" xr:uid="{5FBDDE45-FEFB-4725-9630-7CCB14E2C7E8}"/>
    <cellStyle name="40% - Accent2 8 5" xfId="2717" xr:uid="{DD1D9773-D678-4801-8FF3-C4049EF28538}"/>
    <cellStyle name="40% - Accent2 8 6" xfId="3541" xr:uid="{608F2B63-650A-426C-8AE4-07E7D78E3A3A}"/>
    <cellStyle name="40% - Accent2 9" xfId="252" xr:uid="{00000000-0005-0000-0000-0000F6010000}"/>
    <cellStyle name="40% - Accent2 9 2" xfId="669" xr:uid="{00000000-0005-0000-0000-0000F7010000}"/>
    <cellStyle name="40% - Accent2 9 2 2" xfId="1495" xr:uid="{792036F8-6FC0-46BD-8146-5EE805D6D7C4}"/>
    <cellStyle name="40% - Accent2 9 2 3" xfId="2323" xr:uid="{EE0C171E-EBAD-4261-A174-B8A484459EB5}"/>
    <cellStyle name="40% - Accent2 9 2 4" xfId="3147" xr:uid="{CF61DE5A-B7C1-4B9F-80D4-D1A209E168A4}"/>
    <cellStyle name="40% - Accent2 9 2 5" xfId="3971" xr:uid="{1D0753EB-FB17-4979-AF93-47F3E33A0031}"/>
    <cellStyle name="40% - Accent2 9 3" xfId="1078" xr:uid="{1E6C9AD8-E9BE-418D-8DA8-AF0395FBE60B}"/>
    <cellStyle name="40% - Accent2 9 4" xfId="1906" xr:uid="{432D7FBC-9159-4C70-B95D-CB1809369A79}"/>
    <cellStyle name="40% - Accent2 9 5" xfId="2730" xr:uid="{A65FC706-F1E1-4EA9-9109-34492FA56E95}"/>
    <cellStyle name="40% - Accent2 9 6" xfId="3554" xr:uid="{414F1C09-381E-4EB8-8D22-B8CCF031336F}"/>
    <cellStyle name="40% - Accent3" xfId="30" builtinId="39" customBuiltin="1"/>
    <cellStyle name="40% - Accent3 10" xfId="450" xr:uid="{00000000-0005-0000-0000-0000F9010000}"/>
    <cellStyle name="40% - Accent3 10 2" xfId="1276" xr:uid="{A1000BA1-83CA-4E77-ACA2-610E0A88B9D1}"/>
    <cellStyle name="40% - Accent3 10 3" xfId="2104" xr:uid="{40C47E49-B40B-4A13-B8CE-A48493EA87BA}"/>
    <cellStyle name="40% - Accent3 10 4" xfId="2928" xr:uid="{614E2BF6-44C3-4382-8D46-8083FFA719C6}"/>
    <cellStyle name="40% - Accent3 10 5" xfId="3752" xr:uid="{F4ECB9BF-E2F6-40D7-B067-F6F20AB9574D}"/>
    <cellStyle name="40% - Accent3 11" xfId="463" xr:uid="{00000000-0005-0000-0000-0000FA010000}"/>
    <cellStyle name="40% - Accent3 11 2" xfId="1289" xr:uid="{CB6089D0-21CD-4759-AC31-62B2AF433884}"/>
    <cellStyle name="40% - Accent3 11 3" xfId="2117" xr:uid="{E518C1F2-F8A4-4C81-B935-3C766E602871}"/>
    <cellStyle name="40% - Accent3 11 4" xfId="2941" xr:uid="{DCA7B722-6287-43CE-AF30-4103A221A92E}"/>
    <cellStyle name="40% - Accent3 11 5" xfId="3765" xr:uid="{0BCF9982-9592-4963-AE3A-5D2E355C7D28}"/>
    <cellStyle name="40% - Accent3 12" xfId="868" xr:uid="{E72AF34E-F818-4271-8988-EAE0B7881DB7}"/>
    <cellStyle name="40% - Accent3 13" xfId="1697" xr:uid="{F317DA92-39A0-444E-BB23-B3F22E79C876}"/>
    <cellStyle name="40% - Accent3 14" xfId="2521" xr:uid="{38CA2311-610F-4709-8D2E-EA5853821B3B}"/>
    <cellStyle name="40% - Accent3 15" xfId="3345" xr:uid="{3295DBF1-2DF5-453A-AC13-33F230C46C1D}"/>
    <cellStyle name="40% - Accent3 2" xfId="57" xr:uid="{00000000-0005-0000-0000-0000FB010000}"/>
    <cellStyle name="40% - Accent3 2 2" xfId="110" xr:uid="{00000000-0005-0000-0000-0000FC010000}"/>
    <cellStyle name="40% - Accent3 2 2 2" xfId="215" xr:uid="{00000000-0005-0000-0000-0000FD010000}"/>
    <cellStyle name="40% - Accent3 2 2 2 2" xfId="424" xr:uid="{00000000-0005-0000-0000-0000FE010000}"/>
    <cellStyle name="40% - Accent3 2 2 2 2 2" xfId="841" xr:uid="{00000000-0005-0000-0000-0000FF010000}"/>
    <cellStyle name="40% - Accent3 2 2 2 2 2 2" xfId="1667" xr:uid="{1C79F5BC-7461-4E9E-A31E-5E1B3FC1644E}"/>
    <cellStyle name="40% - Accent3 2 2 2 2 2 3" xfId="2495" xr:uid="{9D70AFC6-4408-437C-B3EA-361E223CAF20}"/>
    <cellStyle name="40% - Accent3 2 2 2 2 2 4" xfId="3319" xr:uid="{A6831698-6AE2-417C-A63B-117FD69CB0FA}"/>
    <cellStyle name="40% - Accent3 2 2 2 2 2 5" xfId="4143" xr:uid="{3378E049-34B0-4369-94B3-0513B160514E}"/>
    <cellStyle name="40% - Accent3 2 2 2 2 3" xfId="1250" xr:uid="{2812C58B-9A40-4F2C-8EF4-062BBE466512}"/>
    <cellStyle name="40% - Accent3 2 2 2 2 4" xfId="2078" xr:uid="{C65C95D7-F7F2-4FC0-91F7-3370A0DC6D81}"/>
    <cellStyle name="40% - Accent3 2 2 2 2 5" xfId="2902" xr:uid="{5C4F3EEC-96CD-4403-B743-D07D522EC09A}"/>
    <cellStyle name="40% - Accent3 2 2 2 2 6" xfId="3726" xr:uid="{747DDC68-A6F2-4CC5-AF2F-0D4EC2E4B978}"/>
    <cellStyle name="40% - Accent3 2 2 2 3" xfId="633" xr:uid="{00000000-0005-0000-0000-000000020000}"/>
    <cellStyle name="40% - Accent3 2 2 2 3 2" xfId="1459" xr:uid="{9B46E8EB-3F64-4FD5-B466-3514CBF37BCB}"/>
    <cellStyle name="40% - Accent3 2 2 2 3 3" xfId="2287" xr:uid="{E8B18FD9-6919-4C01-8DAB-D0190FCEFC61}"/>
    <cellStyle name="40% - Accent3 2 2 2 3 4" xfId="3111" xr:uid="{EF9BF114-BCA4-41E8-9020-FE776EBF7128}"/>
    <cellStyle name="40% - Accent3 2 2 2 3 5" xfId="3935" xr:uid="{50691FA7-3AA4-4A35-AB7E-36FD168ED8F8}"/>
    <cellStyle name="40% - Accent3 2 2 2 4" xfId="1041" xr:uid="{3C08A327-4DA4-4E12-BBCE-238AB1940518}"/>
    <cellStyle name="40% - Accent3 2 2 2 5" xfId="1869" xr:uid="{29931DB5-3B77-4CB3-A23B-94E9D182AE2B}"/>
    <cellStyle name="40% - Accent3 2 2 2 6" xfId="2693" xr:uid="{E42261BB-3AC1-4662-80D2-7B7086C2B160}"/>
    <cellStyle name="40% - Accent3 2 2 2 7" xfId="3517" xr:uid="{2F6B4FF1-197B-4C3B-99C6-208918364AEB}"/>
    <cellStyle name="40% - Accent3 2 2 3" xfId="320" xr:uid="{00000000-0005-0000-0000-000001020000}"/>
    <cellStyle name="40% - Accent3 2 2 3 2" xfId="737" xr:uid="{00000000-0005-0000-0000-000002020000}"/>
    <cellStyle name="40% - Accent3 2 2 3 2 2" xfId="1563" xr:uid="{1AF60F71-2996-47CF-9466-D201EC7FA5C3}"/>
    <cellStyle name="40% - Accent3 2 2 3 2 3" xfId="2391" xr:uid="{4067B305-C643-47EC-BFE2-8816927896A1}"/>
    <cellStyle name="40% - Accent3 2 2 3 2 4" xfId="3215" xr:uid="{AB9BD17F-9A4E-4439-9E8B-C42AA1B87F43}"/>
    <cellStyle name="40% - Accent3 2 2 3 2 5" xfId="4039" xr:uid="{6ED296A2-2DC5-4875-A71D-28CA389F6A6F}"/>
    <cellStyle name="40% - Accent3 2 2 3 3" xfId="1146" xr:uid="{E2A16242-36FB-48C3-99D6-A0A647823B89}"/>
    <cellStyle name="40% - Accent3 2 2 3 4" xfId="1974" xr:uid="{F43C90F4-F65C-4388-BC12-7DA9A8D9D027}"/>
    <cellStyle name="40% - Accent3 2 2 3 5" xfId="2798" xr:uid="{E70D342B-FC16-4BDE-A6C6-ED265BD1B974}"/>
    <cellStyle name="40% - Accent3 2 2 3 6" xfId="3622" xr:uid="{022F8538-F16D-4A8D-B016-42FC13DDCB18}"/>
    <cellStyle name="40% - Accent3 2 2 4" xfId="529" xr:uid="{00000000-0005-0000-0000-000003020000}"/>
    <cellStyle name="40% - Accent3 2 2 4 2" xfId="1355" xr:uid="{537E0A70-274F-49E0-AAF4-1560C60B3CDE}"/>
    <cellStyle name="40% - Accent3 2 2 4 3" xfId="2183" xr:uid="{D2F9CDFA-F189-4C5F-97EA-D0D7EEE0E81C}"/>
    <cellStyle name="40% - Accent3 2 2 4 4" xfId="3007" xr:uid="{466973A0-3CB4-4037-83A6-1AF02910F832}"/>
    <cellStyle name="40% - Accent3 2 2 4 5" xfId="3831" xr:uid="{5593A45D-83F7-476D-AE95-3D7152313880}"/>
    <cellStyle name="40% - Accent3 2 2 5" xfId="936" xr:uid="{8CD24EAD-634E-4D94-A8D7-CC76842E044F}"/>
    <cellStyle name="40% - Accent3 2 2 6" xfId="1764" xr:uid="{D50EC38F-C7C1-4943-B005-57F60FA6CB37}"/>
    <cellStyle name="40% - Accent3 2 2 7" xfId="2588" xr:uid="{B6D90DFD-6BA0-4321-911A-672CD9086A85}"/>
    <cellStyle name="40% - Accent3 2 2 8" xfId="3412" xr:uid="{C5165D19-A037-4E7A-9A2F-E517CE303809}"/>
    <cellStyle name="40% - Accent3 2 3" xfId="163" xr:uid="{00000000-0005-0000-0000-000004020000}"/>
    <cellStyle name="40% - Accent3 2 3 2" xfId="372" xr:uid="{00000000-0005-0000-0000-000005020000}"/>
    <cellStyle name="40% - Accent3 2 3 2 2" xfId="789" xr:uid="{00000000-0005-0000-0000-000006020000}"/>
    <cellStyle name="40% - Accent3 2 3 2 2 2" xfId="1615" xr:uid="{A85A3E0A-02DA-4E5F-B2E4-50CF3F8F89A1}"/>
    <cellStyle name="40% - Accent3 2 3 2 2 3" xfId="2443" xr:uid="{95459E2F-7CB1-4964-8049-8FFCC3978943}"/>
    <cellStyle name="40% - Accent3 2 3 2 2 4" xfId="3267" xr:uid="{66AFA508-86E8-4092-97B1-F709123B4FC5}"/>
    <cellStyle name="40% - Accent3 2 3 2 2 5" xfId="4091" xr:uid="{3A78F665-D79B-4A0E-8946-55C923DD4FA5}"/>
    <cellStyle name="40% - Accent3 2 3 2 3" xfId="1198" xr:uid="{7A18D3AC-C618-4D71-AC97-6F24546EAEDD}"/>
    <cellStyle name="40% - Accent3 2 3 2 4" xfId="2026" xr:uid="{7C82A867-AB1A-4002-8664-01916E49A8D7}"/>
    <cellStyle name="40% - Accent3 2 3 2 5" xfId="2850" xr:uid="{4F5316C2-825F-47C6-BCCF-20E2CCE190FD}"/>
    <cellStyle name="40% - Accent3 2 3 2 6" xfId="3674" xr:uid="{E724E8F7-E59A-4286-BBE6-AC58894E2F09}"/>
    <cellStyle name="40% - Accent3 2 3 3" xfId="581" xr:uid="{00000000-0005-0000-0000-000007020000}"/>
    <cellStyle name="40% - Accent3 2 3 3 2" xfId="1407" xr:uid="{3F7A127D-F3D0-4C4F-821C-5A01F0B16BA6}"/>
    <cellStyle name="40% - Accent3 2 3 3 3" xfId="2235" xr:uid="{E4E6C2E5-F02A-4002-A513-FE0C4B703A3B}"/>
    <cellStyle name="40% - Accent3 2 3 3 4" xfId="3059" xr:uid="{6211AC08-DC2D-48F5-AC71-2E4543E6F5F7}"/>
    <cellStyle name="40% - Accent3 2 3 3 5" xfId="3883" xr:uid="{B637D371-135A-44B2-B922-BC2CB656137A}"/>
    <cellStyle name="40% - Accent3 2 3 4" xfId="989" xr:uid="{C7148743-FDE8-43D7-817F-5E00F4A7D771}"/>
    <cellStyle name="40% - Accent3 2 3 5" xfId="1817" xr:uid="{0C04AE6A-E50B-4F11-ADC3-9868B56251D1}"/>
    <cellStyle name="40% - Accent3 2 3 6" xfId="2641" xr:uid="{B6088565-FEA1-49AC-88B9-AF8082688528}"/>
    <cellStyle name="40% - Accent3 2 3 7" xfId="3465" xr:uid="{76E9B5EE-538B-4E3A-9DFB-7CF9B6220962}"/>
    <cellStyle name="40% - Accent3 2 4" xfId="268" xr:uid="{00000000-0005-0000-0000-000008020000}"/>
    <cellStyle name="40% - Accent3 2 4 2" xfId="685" xr:uid="{00000000-0005-0000-0000-000009020000}"/>
    <cellStyle name="40% - Accent3 2 4 2 2" xfId="1511" xr:uid="{C3DB2660-CF01-4C6B-AE9B-7036169D7559}"/>
    <cellStyle name="40% - Accent3 2 4 2 3" xfId="2339" xr:uid="{9CE60DE3-F1FF-4F90-88E6-F32BFB3A4B21}"/>
    <cellStyle name="40% - Accent3 2 4 2 4" xfId="3163" xr:uid="{EF6206C9-6D27-414A-BA14-7C8B4F58D355}"/>
    <cellStyle name="40% - Accent3 2 4 2 5" xfId="3987" xr:uid="{3BB3495A-E7DC-4AE3-B3B9-032C23E49842}"/>
    <cellStyle name="40% - Accent3 2 4 3" xfId="1094" xr:uid="{451184E6-2552-4B02-8162-2CC12F961198}"/>
    <cellStyle name="40% - Accent3 2 4 4" xfId="1922" xr:uid="{2CE177D8-CE4D-4CAF-B456-741FF289F6FC}"/>
    <cellStyle name="40% - Accent3 2 4 5" xfId="2746" xr:uid="{1D6FDE5B-A38B-46A7-A545-90DB50728D6A}"/>
    <cellStyle name="40% - Accent3 2 4 6" xfId="3570" xr:uid="{EFAF201E-58BD-4410-A729-645324CDC68A}"/>
    <cellStyle name="40% - Accent3 2 5" xfId="477" xr:uid="{00000000-0005-0000-0000-00000A020000}"/>
    <cellStyle name="40% - Accent3 2 5 2" xfId="1303" xr:uid="{A9C1DC30-1E38-42ED-A79F-B81663AE6B2A}"/>
    <cellStyle name="40% - Accent3 2 5 3" xfId="2131" xr:uid="{E8D41756-B04E-448F-9309-CF25FBA0CC3B}"/>
    <cellStyle name="40% - Accent3 2 5 4" xfId="2955" xr:uid="{E89C3EC0-7C32-4FA2-9047-32CC141E0C77}"/>
    <cellStyle name="40% - Accent3 2 5 5" xfId="3779" xr:uid="{8B4200AC-7800-443D-B856-6C4DDAC5035D}"/>
    <cellStyle name="40% - Accent3 2 6" xfId="883" xr:uid="{73F25F7C-BB74-49C7-A4A3-8EFAA63D8F93}"/>
    <cellStyle name="40% - Accent3 2 7" xfId="1711" xr:uid="{F5A4E0B7-9D8C-4634-AA80-6714F4964F61}"/>
    <cellStyle name="40% - Accent3 2 8" xfId="2535" xr:uid="{E7F2B853-DB55-4489-9D72-C62D32A73AA8}"/>
    <cellStyle name="40% - Accent3 2 9" xfId="3359" xr:uid="{04A0A5DB-98AD-47ED-BE3A-031D33DAD6A7}"/>
    <cellStyle name="40% - Accent3 3" xfId="70" xr:uid="{00000000-0005-0000-0000-00000B020000}"/>
    <cellStyle name="40% - Accent3 3 2" xfId="123" xr:uid="{00000000-0005-0000-0000-00000C020000}"/>
    <cellStyle name="40% - Accent3 3 2 2" xfId="228" xr:uid="{00000000-0005-0000-0000-00000D020000}"/>
    <cellStyle name="40% - Accent3 3 2 2 2" xfId="437" xr:uid="{00000000-0005-0000-0000-00000E020000}"/>
    <cellStyle name="40% - Accent3 3 2 2 2 2" xfId="854" xr:uid="{00000000-0005-0000-0000-00000F020000}"/>
    <cellStyle name="40% - Accent3 3 2 2 2 2 2" xfId="1680" xr:uid="{DA2C206B-6B6B-4DD4-AEA4-7F7436291CD2}"/>
    <cellStyle name="40% - Accent3 3 2 2 2 2 3" xfId="2508" xr:uid="{018AB9B9-F9AF-49E6-8280-5B369CCC012D}"/>
    <cellStyle name="40% - Accent3 3 2 2 2 2 4" xfId="3332" xr:uid="{5BF4887F-771C-4554-B11D-9921ED98ADFA}"/>
    <cellStyle name="40% - Accent3 3 2 2 2 2 5" xfId="4156" xr:uid="{FE7210F4-2C48-466D-8E76-507E120E6C9B}"/>
    <cellStyle name="40% - Accent3 3 2 2 2 3" xfId="1263" xr:uid="{7EE6AA54-CDA6-4FE6-8537-D7EA6018923E}"/>
    <cellStyle name="40% - Accent3 3 2 2 2 4" xfId="2091" xr:uid="{10E8F75D-161D-4EC6-95D7-71E79DED8CC2}"/>
    <cellStyle name="40% - Accent3 3 2 2 2 5" xfId="2915" xr:uid="{1D6C5AA6-1594-4756-8B9A-116A8E36C9F1}"/>
    <cellStyle name="40% - Accent3 3 2 2 2 6" xfId="3739" xr:uid="{73954291-04D8-4E0C-BF4E-14DAAF3D9C3B}"/>
    <cellStyle name="40% - Accent3 3 2 2 3" xfId="646" xr:uid="{00000000-0005-0000-0000-000010020000}"/>
    <cellStyle name="40% - Accent3 3 2 2 3 2" xfId="1472" xr:uid="{5DDFC671-25CB-4262-8B51-EDF0799BD7A2}"/>
    <cellStyle name="40% - Accent3 3 2 2 3 3" xfId="2300" xr:uid="{DFAF6AB6-1381-404C-9BA7-24BB2CDF7A42}"/>
    <cellStyle name="40% - Accent3 3 2 2 3 4" xfId="3124" xr:uid="{7EFA962C-3AC9-4610-9AD7-FDFF5FB2E84C}"/>
    <cellStyle name="40% - Accent3 3 2 2 3 5" xfId="3948" xr:uid="{E8E36641-4472-4A73-8850-B39DF65E7420}"/>
    <cellStyle name="40% - Accent3 3 2 2 4" xfId="1054" xr:uid="{01D6F0F2-9E49-412A-A323-79F7B4360442}"/>
    <cellStyle name="40% - Accent3 3 2 2 5" xfId="1882" xr:uid="{67C11393-1B9F-4833-B6A0-13E6F6E96304}"/>
    <cellStyle name="40% - Accent3 3 2 2 6" xfId="2706" xr:uid="{552BAA35-9E54-4D81-9EA2-78112F6C2D56}"/>
    <cellStyle name="40% - Accent3 3 2 2 7" xfId="3530" xr:uid="{874F3DD2-4C01-472C-9F2A-FD8029C4AE12}"/>
    <cellStyle name="40% - Accent3 3 2 3" xfId="333" xr:uid="{00000000-0005-0000-0000-000011020000}"/>
    <cellStyle name="40% - Accent3 3 2 3 2" xfId="750" xr:uid="{00000000-0005-0000-0000-000012020000}"/>
    <cellStyle name="40% - Accent3 3 2 3 2 2" xfId="1576" xr:uid="{33F78C0F-94DF-4D81-B88C-8EE0BB806C32}"/>
    <cellStyle name="40% - Accent3 3 2 3 2 3" xfId="2404" xr:uid="{B7A3C3F4-4690-4DAA-A63A-567780DA7530}"/>
    <cellStyle name="40% - Accent3 3 2 3 2 4" xfId="3228" xr:uid="{CBDA1C03-4999-453D-9243-AE4FCB273661}"/>
    <cellStyle name="40% - Accent3 3 2 3 2 5" xfId="4052" xr:uid="{077A9E30-1DE2-41D0-9A50-51A1A49DECC2}"/>
    <cellStyle name="40% - Accent3 3 2 3 3" xfId="1159" xr:uid="{8C166997-8AD4-40DF-AD68-941841C88A16}"/>
    <cellStyle name="40% - Accent3 3 2 3 4" xfId="1987" xr:uid="{C6AE3D23-57CA-4EF9-86F4-BD5FBA33F551}"/>
    <cellStyle name="40% - Accent3 3 2 3 5" xfId="2811" xr:uid="{5E85AFD4-B605-487A-AE97-C9EAC404241B}"/>
    <cellStyle name="40% - Accent3 3 2 3 6" xfId="3635" xr:uid="{3E5056C8-C26D-4299-8209-4F4B2820AC5B}"/>
    <cellStyle name="40% - Accent3 3 2 4" xfId="542" xr:uid="{00000000-0005-0000-0000-000013020000}"/>
    <cellStyle name="40% - Accent3 3 2 4 2" xfId="1368" xr:uid="{0F5F4A97-1CA4-41C8-ABAA-F8DDD17868CD}"/>
    <cellStyle name="40% - Accent3 3 2 4 3" xfId="2196" xr:uid="{FE0A0818-7B1B-4A35-BDF2-3FF11FF9849C}"/>
    <cellStyle name="40% - Accent3 3 2 4 4" xfId="3020" xr:uid="{1F623EFD-247B-4CD7-BE20-276C4961AC69}"/>
    <cellStyle name="40% - Accent3 3 2 4 5" xfId="3844" xr:uid="{914C06ED-DF1D-4DF1-939D-B92011240431}"/>
    <cellStyle name="40% - Accent3 3 2 5" xfId="949" xr:uid="{59F9D1AA-620E-428C-B87B-BDB5CB3058D2}"/>
    <cellStyle name="40% - Accent3 3 2 6" xfId="1777" xr:uid="{BD87C477-5B53-40FA-8886-70675C11189C}"/>
    <cellStyle name="40% - Accent3 3 2 7" xfId="2601" xr:uid="{5CA079F2-E79B-4350-8E6E-60BB7E629D8D}"/>
    <cellStyle name="40% - Accent3 3 2 8" xfId="3425" xr:uid="{DD3E73D2-1609-4F26-8EA2-F475D43E1EEC}"/>
    <cellStyle name="40% - Accent3 3 3" xfId="176" xr:uid="{00000000-0005-0000-0000-000014020000}"/>
    <cellStyle name="40% - Accent3 3 3 2" xfId="385" xr:uid="{00000000-0005-0000-0000-000015020000}"/>
    <cellStyle name="40% - Accent3 3 3 2 2" xfId="802" xr:uid="{00000000-0005-0000-0000-000016020000}"/>
    <cellStyle name="40% - Accent3 3 3 2 2 2" xfId="1628" xr:uid="{ED2CB62E-88AD-4083-A964-2F36FA5717DD}"/>
    <cellStyle name="40% - Accent3 3 3 2 2 3" xfId="2456" xr:uid="{C91D1AA3-A87B-4C11-8FC2-727801EB4568}"/>
    <cellStyle name="40% - Accent3 3 3 2 2 4" xfId="3280" xr:uid="{C7716CCF-8570-4F79-BF08-1B226043C718}"/>
    <cellStyle name="40% - Accent3 3 3 2 2 5" xfId="4104" xr:uid="{52952E1D-6C70-4F7C-B3AF-BA3E058E76DD}"/>
    <cellStyle name="40% - Accent3 3 3 2 3" xfId="1211" xr:uid="{590C3501-2DD4-4B7B-8A56-C91867939FA5}"/>
    <cellStyle name="40% - Accent3 3 3 2 4" xfId="2039" xr:uid="{ED7F8B78-8348-49C4-A02F-7A552D0952DE}"/>
    <cellStyle name="40% - Accent3 3 3 2 5" xfId="2863" xr:uid="{4B7BDD2F-025D-4295-9143-95E08835808C}"/>
    <cellStyle name="40% - Accent3 3 3 2 6" xfId="3687" xr:uid="{0D1502EC-9446-4DDE-80E8-ECAC45A0DDD2}"/>
    <cellStyle name="40% - Accent3 3 3 3" xfId="594" xr:uid="{00000000-0005-0000-0000-000017020000}"/>
    <cellStyle name="40% - Accent3 3 3 3 2" xfId="1420" xr:uid="{64116FA7-C9FA-4669-BFE3-BFCFA79B6FD2}"/>
    <cellStyle name="40% - Accent3 3 3 3 3" xfId="2248" xr:uid="{8B172F5D-96B7-4EF7-AEC7-1CFBF8DC70FE}"/>
    <cellStyle name="40% - Accent3 3 3 3 4" xfId="3072" xr:uid="{2C2066E2-0757-4F7A-A200-D233728E590B}"/>
    <cellStyle name="40% - Accent3 3 3 3 5" xfId="3896" xr:uid="{8FF2237A-FD04-4FB9-AFF1-56A8E69ED66F}"/>
    <cellStyle name="40% - Accent3 3 3 4" xfId="1002" xr:uid="{8CC3BE89-AE82-4D1C-9888-DA08415BF24A}"/>
    <cellStyle name="40% - Accent3 3 3 5" xfId="1830" xr:uid="{7A5CCCD4-746C-46C8-93B9-04081BC62636}"/>
    <cellStyle name="40% - Accent3 3 3 6" xfId="2654" xr:uid="{6A321187-8B83-4A62-B868-976DA1C9B8A2}"/>
    <cellStyle name="40% - Accent3 3 3 7" xfId="3478" xr:uid="{9AC55D74-95C9-48BE-83BB-D042EC43AF52}"/>
    <cellStyle name="40% - Accent3 3 4" xfId="281" xr:uid="{00000000-0005-0000-0000-000018020000}"/>
    <cellStyle name="40% - Accent3 3 4 2" xfId="698" xr:uid="{00000000-0005-0000-0000-000019020000}"/>
    <cellStyle name="40% - Accent3 3 4 2 2" xfId="1524" xr:uid="{0A0569BA-E18B-4127-9C5A-217EB5EAB75E}"/>
    <cellStyle name="40% - Accent3 3 4 2 3" xfId="2352" xr:uid="{CB2BA310-D7BC-4F33-BFCA-D3B71129D678}"/>
    <cellStyle name="40% - Accent3 3 4 2 4" xfId="3176" xr:uid="{BD05080F-9FC3-48AA-97D7-870ED85A8694}"/>
    <cellStyle name="40% - Accent3 3 4 2 5" xfId="4000" xr:uid="{CFD7DB2C-F952-4C4E-89EA-1C29F7558D5D}"/>
    <cellStyle name="40% - Accent3 3 4 3" xfId="1107" xr:uid="{7044AB31-5B08-4363-8225-5077CD241288}"/>
    <cellStyle name="40% - Accent3 3 4 4" xfId="1935" xr:uid="{10E219AE-15E7-4D69-8290-7C27016D7021}"/>
    <cellStyle name="40% - Accent3 3 4 5" xfId="2759" xr:uid="{F0C1C118-33EC-49CA-A5FD-B6F2A7428869}"/>
    <cellStyle name="40% - Accent3 3 4 6" xfId="3583" xr:uid="{69548636-F0DA-4AF3-8685-9DA08277EC39}"/>
    <cellStyle name="40% - Accent3 3 5" xfId="490" xr:uid="{00000000-0005-0000-0000-00001A020000}"/>
    <cellStyle name="40% - Accent3 3 5 2" xfId="1316" xr:uid="{CE63C7EF-27B4-44AE-AFDF-F51B2E15E99C}"/>
    <cellStyle name="40% - Accent3 3 5 3" xfId="2144" xr:uid="{3EA9533B-1A15-48E0-8E3F-B5957472549A}"/>
    <cellStyle name="40% - Accent3 3 5 4" xfId="2968" xr:uid="{E30B90B3-A6C6-4A17-BA91-D337C6EF4DCA}"/>
    <cellStyle name="40% - Accent3 3 5 5" xfId="3792" xr:uid="{30C83ACB-F3DD-47D2-80C4-318E1DFE4CCA}"/>
    <cellStyle name="40% - Accent3 3 6" xfId="896" xr:uid="{A992F03E-E72F-45CD-9A40-19085501DEEE}"/>
    <cellStyle name="40% - Accent3 3 7" xfId="1724" xr:uid="{8E8C0744-EA16-414F-97D6-549E3C9DB8DA}"/>
    <cellStyle name="40% - Accent3 3 8" xfId="2548" xr:uid="{AAAE297F-4484-4C5A-AFD2-20F97FF8CB41}"/>
    <cellStyle name="40% - Accent3 3 9" xfId="3372" xr:uid="{48FBEA4B-B206-4B3D-ACFE-9D97D7DF22EF}"/>
    <cellStyle name="40% - Accent3 4" xfId="83" xr:uid="{00000000-0005-0000-0000-00001B020000}"/>
    <cellStyle name="40% - Accent3 4 2" xfId="189" xr:uid="{00000000-0005-0000-0000-00001C020000}"/>
    <cellStyle name="40% - Accent3 4 2 2" xfId="398" xr:uid="{00000000-0005-0000-0000-00001D020000}"/>
    <cellStyle name="40% - Accent3 4 2 2 2" xfId="815" xr:uid="{00000000-0005-0000-0000-00001E020000}"/>
    <cellStyle name="40% - Accent3 4 2 2 2 2" xfId="1641" xr:uid="{53FA9D11-C550-4B2F-8108-1A1BDA4AE7BE}"/>
    <cellStyle name="40% - Accent3 4 2 2 2 3" xfId="2469" xr:uid="{A46960BA-5A04-4075-8DD9-DC4E422C0E56}"/>
    <cellStyle name="40% - Accent3 4 2 2 2 4" xfId="3293" xr:uid="{5296F623-875F-47F7-B272-24CBC94E1D52}"/>
    <cellStyle name="40% - Accent3 4 2 2 2 5" xfId="4117" xr:uid="{1F589EDA-6D88-4C26-96A1-DE6AF9EFA528}"/>
    <cellStyle name="40% - Accent3 4 2 2 3" xfId="1224" xr:uid="{CDDE4DBF-F68C-41C6-AEF5-60959DA013C3}"/>
    <cellStyle name="40% - Accent3 4 2 2 4" xfId="2052" xr:uid="{A7490E75-41F3-440C-BECF-A23F007B71A6}"/>
    <cellStyle name="40% - Accent3 4 2 2 5" xfId="2876" xr:uid="{7178B39C-80E3-4624-9293-70078BC20A3B}"/>
    <cellStyle name="40% - Accent3 4 2 2 6" xfId="3700" xr:uid="{36C0B290-A4D3-49FB-9C73-EFC27C84EE7C}"/>
    <cellStyle name="40% - Accent3 4 2 3" xfId="607" xr:uid="{00000000-0005-0000-0000-00001F020000}"/>
    <cellStyle name="40% - Accent3 4 2 3 2" xfId="1433" xr:uid="{3C89E324-D5D6-4F5D-BE0A-C07D7F5F9A57}"/>
    <cellStyle name="40% - Accent3 4 2 3 3" xfId="2261" xr:uid="{EB745824-B24D-4A23-A038-0524D3D81765}"/>
    <cellStyle name="40% - Accent3 4 2 3 4" xfId="3085" xr:uid="{8F2D2D02-32E1-420E-83CC-2A47CE961485}"/>
    <cellStyle name="40% - Accent3 4 2 3 5" xfId="3909" xr:uid="{3DAF4262-7BE4-4DA9-8900-7996D57DA058}"/>
    <cellStyle name="40% - Accent3 4 2 4" xfId="1015" xr:uid="{0FD09634-028C-4B6C-9E50-DEEF992F8731}"/>
    <cellStyle name="40% - Accent3 4 2 5" xfId="1843" xr:uid="{0FB3F229-D08E-4F4D-AA4D-60A67131976A}"/>
    <cellStyle name="40% - Accent3 4 2 6" xfId="2667" xr:uid="{9142D374-CD16-42A9-B461-83749AEE9883}"/>
    <cellStyle name="40% - Accent3 4 2 7" xfId="3491" xr:uid="{403C340F-5A54-41AF-BFD0-7AF3F66B0CDB}"/>
    <cellStyle name="40% - Accent3 4 3" xfId="294" xr:uid="{00000000-0005-0000-0000-000020020000}"/>
    <cellStyle name="40% - Accent3 4 3 2" xfId="711" xr:uid="{00000000-0005-0000-0000-000021020000}"/>
    <cellStyle name="40% - Accent3 4 3 2 2" xfId="1537" xr:uid="{1C195B0D-49B9-4391-9B7E-76C3A5704D22}"/>
    <cellStyle name="40% - Accent3 4 3 2 3" xfId="2365" xr:uid="{8730F77D-1C34-40A2-AC0E-D1FC31BB3890}"/>
    <cellStyle name="40% - Accent3 4 3 2 4" xfId="3189" xr:uid="{5E9A41F4-2864-4B24-BA76-A0375907F03B}"/>
    <cellStyle name="40% - Accent3 4 3 2 5" xfId="4013" xr:uid="{748EF9BA-B9B6-4C7E-A8DE-F63211851E02}"/>
    <cellStyle name="40% - Accent3 4 3 3" xfId="1120" xr:uid="{AE4D7BCD-965C-4AF6-8246-844C533C8F3E}"/>
    <cellStyle name="40% - Accent3 4 3 4" xfId="1948" xr:uid="{C4A85696-471D-4F7E-98A9-BC06BF6BEBD4}"/>
    <cellStyle name="40% - Accent3 4 3 5" xfId="2772" xr:uid="{374ACC1B-958C-44AA-9B9B-A44DFA4018CE}"/>
    <cellStyle name="40% - Accent3 4 3 6" xfId="3596" xr:uid="{94632FB2-5F89-4FEF-A2C7-0F12A4E7B15B}"/>
    <cellStyle name="40% - Accent3 4 4" xfId="503" xr:uid="{00000000-0005-0000-0000-000022020000}"/>
    <cellStyle name="40% - Accent3 4 4 2" xfId="1329" xr:uid="{69DE7A01-781C-4542-9A81-9B46DA672C4E}"/>
    <cellStyle name="40% - Accent3 4 4 3" xfId="2157" xr:uid="{6004E918-D30C-47F6-B05E-4A9D5380DFA1}"/>
    <cellStyle name="40% - Accent3 4 4 4" xfId="2981" xr:uid="{B1E3E2CB-06C9-46A2-BC86-3701AC3F0282}"/>
    <cellStyle name="40% - Accent3 4 4 5" xfId="3805" xr:uid="{0E3CF1FF-90DF-40E2-8C5A-1F7160FAAF82}"/>
    <cellStyle name="40% - Accent3 4 5" xfId="909" xr:uid="{52ECBC43-E81E-4F95-91BD-4BEAA5211E8A}"/>
    <cellStyle name="40% - Accent3 4 6" xfId="1737" xr:uid="{97DFC6AB-DD63-4B33-A64B-663F66B484D2}"/>
    <cellStyle name="40% - Accent3 4 7" xfId="2561" xr:uid="{8F147EC0-EBD9-496B-A7E0-A66372F8A993}"/>
    <cellStyle name="40% - Accent3 4 8" xfId="3385" xr:uid="{EF19A836-95D4-4CAE-802E-BFC41FA3CAD9}"/>
    <cellStyle name="40% - Accent3 5" xfId="96" xr:uid="{00000000-0005-0000-0000-000023020000}"/>
    <cellStyle name="40% - Accent3 5 2" xfId="201" xr:uid="{00000000-0005-0000-0000-000024020000}"/>
    <cellStyle name="40% - Accent3 5 2 2" xfId="410" xr:uid="{00000000-0005-0000-0000-000025020000}"/>
    <cellStyle name="40% - Accent3 5 2 2 2" xfId="827" xr:uid="{00000000-0005-0000-0000-000026020000}"/>
    <cellStyle name="40% - Accent3 5 2 2 2 2" xfId="1653" xr:uid="{1CAF3976-3B9A-4110-8E36-19ECD578CD1B}"/>
    <cellStyle name="40% - Accent3 5 2 2 2 3" xfId="2481" xr:uid="{27C78B3D-FE5C-4765-9718-37198ACCB8A6}"/>
    <cellStyle name="40% - Accent3 5 2 2 2 4" xfId="3305" xr:uid="{C45124A9-04C6-453E-95F8-BE7CF8EB75ED}"/>
    <cellStyle name="40% - Accent3 5 2 2 2 5" xfId="4129" xr:uid="{A81FF9F2-4EE1-4271-9E68-1BAB313C1A8E}"/>
    <cellStyle name="40% - Accent3 5 2 2 3" xfId="1236" xr:uid="{E9BA6944-810E-44C3-9EB2-46D30DF9D0D9}"/>
    <cellStyle name="40% - Accent3 5 2 2 4" xfId="2064" xr:uid="{10110292-F20E-4AC1-82DD-B7CA95833969}"/>
    <cellStyle name="40% - Accent3 5 2 2 5" xfId="2888" xr:uid="{1575AE84-5D9D-454C-8AC2-624221B7A488}"/>
    <cellStyle name="40% - Accent3 5 2 2 6" xfId="3712" xr:uid="{72B0AECF-6FA2-4AA2-83FB-C6B13777D09E}"/>
    <cellStyle name="40% - Accent3 5 2 3" xfId="619" xr:uid="{00000000-0005-0000-0000-000027020000}"/>
    <cellStyle name="40% - Accent3 5 2 3 2" xfId="1445" xr:uid="{DFD3BB5D-14D7-4A2D-ACB9-129CF4DEC651}"/>
    <cellStyle name="40% - Accent3 5 2 3 3" xfId="2273" xr:uid="{504C93D0-DCE6-4E65-AD18-3E31727B74FC}"/>
    <cellStyle name="40% - Accent3 5 2 3 4" xfId="3097" xr:uid="{A526FA3A-FBE0-4033-9D1F-C99825D518D6}"/>
    <cellStyle name="40% - Accent3 5 2 3 5" xfId="3921" xr:uid="{09153148-4506-4B40-984E-9F4F2FFB1AF4}"/>
    <cellStyle name="40% - Accent3 5 2 4" xfId="1027" xr:uid="{65286C38-73A2-4B23-AC82-2C6FDB1AA37C}"/>
    <cellStyle name="40% - Accent3 5 2 5" xfId="1855" xr:uid="{50D8D609-77F2-4BE8-8D16-878ED0A1E5D7}"/>
    <cellStyle name="40% - Accent3 5 2 6" xfId="2679" xr:uid="{8F8D2A7B-DAB5-4F86-9093-A4336A0B3F23}"/>
    <cellStyle name="40% - Accent3 5 2 7" xfId="3503" xr:uid="{C7517B19-A462-4088-B255-0322EBE33DFE}"/>
    <cellStyle name="40% - Accent3 5 3" xfId="306" xr:uid="{00000000-0005-0000-0000-000028020000}"/>
    <cellStyle name="40% - Accent3 5 3 2" xfId="723" xr:uid="{00000000-0005-0000-0000-000029020000}"/>
    <cellStyle name="40% - Accent3 5 3 2 2" xfId="1549" xr:uid="{3F2C91E9-F097-4BDB-8502-5D7D17E62F61}"/>
    <cellStyle name="40% - Accent3 5 3 2 3" xfId="2377" xr:uid="{95AD9198-16D6-46CC-8686-853FD54449A3}"/>
    <cellStyle name="40% - Accent3 5 3 2 4" xfId="3201" xr:uid="{63FD253E-550F-4C90-AFF9-BBA1340F0ECF}"/>
    <cellStyle name="40% - Accent3 5 3 2 5" xfId="4025" xr:uid="{D364EA17-2C86-4EF7-A894-FD1E0DB667B3}"/>
    <cellStyle name="40% - Accent3 5 3 3" xfId="1132" xr:uid="{DBADCD64-7C19-4837-AB01-E7A94EC81A32}"/>
    <cellStyle name="40% - Accent3 5 3 4" xfId="1960" xr:uid="{23500C67-6A07-4E4B-BD03-BE4576F09B99}"/>
    <cellStyle name="40% - Accent3 5 3 5" xfId="2784" xr:uid="{9958087B-BCED-464C-BFA2-70395FE5D97E}"/>
    <cellStyle name="40% - Accent3 5 3 6" xfId="3608" xr:uid="{E23BA273-C7C6-482F-A773-07F4CBEF1380}"/>
    <cellStyle name="40% - Accent3 5 4" xfId="515" xr:uid="{00000000-0005-0000-0000-00002A020000}"/>
    <cellStyle name="40% - Accent3 5 4 2" xfId="1341" xr:uid="{5E8D8635-B59B-40E3-8CEE-4714ABCA2D81}"/>
    <cellStyle name="40% - Accent3 5 4 3" xfId="2169" xr:uid="{D980E7B3-7A9E-44B2-823B-D52715A730D6}"/>
    <cellStyle name="40% - Accent3 5 4 4" xfId="2993" xr:uid="{8320C527-D9E3-4596-8C45-FD6C191DEAC4}"/>
    <cellStyle name="40% - Accent3 5 4 5" xfId="3817" xr:uid="{8735E1DD-B701-4009-9B4F-5F68841703A8}"/>
    <cellStyle name="40% - Accent3 5 5" xfId="922" xr:uid="{DF9748C8-B983-4CA0-A553-4576080533C7}"/>
    <cellStyle name="40% - Accent3 5 6" xfId="1750" xr:uid="{9E8AF656-9537-45E8-A147-73F34FAA5E56}"/>
    <cellStyle name="40% - Accent3 5 7" xfId="2574" xr:uid="{12F4DE24-DB38-4EFF-AC4D-3E2A578B1DF0}"/>
    <cellStyle name="40% - Accent3 5 8" xfId="3398" xr:uid="{DE62A48B-4FA5-4A4E-AF3B-BD45D5D701E4}"/>
    <cellStyle name="40% - Accent3 6" xfId="136" xr:uid="{00000000-0005-0000-0000-00002B020000}"/>
    <cellStyle name="40% - Accent3 6 2" xfId="346" xr:uid="{00000000-0005-0000-0000-00002C020000}"/>
    <cellStyle name="40% - Accent3 6 2 2" xfId="763" xr:uid="{00000000-0005-0000-0000-00002D020000}"/>
    <cellStyle name="40% - Accent3 6 2 2 2" xfId="1589" xr:uid="{AE7A1248-FEFC-4D12-B049-E2026426E668}"/>
    <cellStyle name="40% - Accent3 6 2 2 3" xfId="2417" xr:uid="{85469FF3-159B-434B-A32B-C93D586846D4}"/>
    <cellStyle name="40% - Accent3 6 2 2 4" xfId="3241" xr:uid="{CCBC3035-2657-4FD0-91D6-5FDB63FBB11C}"/>
    <cellStyle name="40% - Accent3 6 2 2 5" xfId="4065" xr:uid="{E95E71B3-411D-4ED1-BD59-BD0789381183}"/>
    <cellStyle name="40% - Accent3 6 2 3" xfId="1172" xr:uid="{1498DBFC-FE68-4D6D-AFA0-C1D2AAC1FB06}"/>
    <cellStyle name="40% - Accent3 6 2 4" xfId="2000" xr:uid="{583A2890-BBF8-42C9-B61C-5461BF3D148C}"/>
    <cellStyle name="40% - Accent3 6 2 5" xfId="2824" xr:uid="{A87FC47C-EF42-428A-8296-969840831EFC}"/>
    <cellStyle name="40% - Accent3 6 2 6" xfId="3648" xr:uid="{6478525B-2807-43A7-81A4-8A0E1C42B736}"/>
    <cellStyle name="40% - Accent3 6 3" xfId="555" xr:uid="{00000000-0005-0000-0000-00002E020000}"/>
    <cellStyle name="40% - Accent3 6 3 2" xfId="1381" xr:uid="{A4729AB3-B386-49A6-B900-254E09FA6774}"/>
    <cellStyle name="40% - Accent3 6 3 3" xfId="2209" xr:uid="{FC99941E-1F82-4503-BE44-A8FC17BB8D6C}"/>
    <cellStyle name="40% - Accent3 6 3 4" xfId="3033" xr:uid="{6A3C099A-1659-48DF-85D7-A5476C7DD398}"/>
    <cellStyle name="40% - Accent3 6 3 5" xfId="3857" xr:uid="{AC0CFF85-E321-4115-BDB4-1E936D002DDD}"/>
    <cellStyle name="40% - Accent3 6 4" xfId="962" xr:uid="{0499F185-A9A3-4E57-A1F6-02D96A3D9C49}"/>
    <cellStyle name="40% - Accent3 6 5" xfId="1790" xr:uid="{39805C1D-25AA-4179-B6B6-121D4A66CE20}"/>
    <cellStyle name="40% - Accent3 6 6" xfId="2614" xr:uid="{6856ED24-D675-4538-8E46-FAB59F828089}"/>
    <cellStyle name="40% - Accent3 6 7" xfId="3438" xr:uid="{0CDB10EA-239C-4A85-A9A4-55213D6AC82B}"/>
    <cellStyle name="40% - Accent3 7" xfId="149" xr:uid="{00000000-0005-0000-0000-00002F020000}"/>
    <cellStyle name="40% - Accent3 7 2" xfId="358" xr:uid="{00000000-0005-0000-0000-000030020000}"/>
    <cellStyle name="40% - Accent3 7 2 2" xfId="775" xr:uid="{00000000-0005-0000-0000-000031020000}"/>
    <cellStyle name="40% - Accent3 7 2 2 2" xfId="1601" xr:uid="{1D483442-4806-451E-AD5B-FB6D37C7F735}"/>
    <cellStyle name="40% - Accent3 7 2 2 3" xfId="2429" xr:uid="{56ECC7AB-A3EA-4E92-A0A0-D8AB904D05CC}"/>
    <cellStyle name="40% - Accent3 7 2 2 4" xfId="3253" xr:uid="{FEEFE06B-B07E-4733-ABE1-F2B788AE9E30}"/>
    <cellStyle name="40% - Accent3 7 2 2 5" xfId="4077" xr:uid="{D3CBEA09-79BA-431F-B564-E366382D74E1}"/>
    <cellStyle name="40% - Accent3 7 2 3" xfId="1184" xr:uid="{813D9740-41E4-4C50-A5A9-821B5F8C4608}"/>
    <cellStyle name="40% - Accent3 7 2 4" xfId="2012" xr:uid="{B269DF94-7D8A-4C8B-BF2E-7720F275F09F}"/>
    <cellStyle name="40% - Accent3 7 2 5" xfId="2836" xr:uid="{2641FE40-6F17-4B2C-9C95-7CEB3CFD715C}"/>
    <cellStyle name="40% - Accent3 7 2 6" xfId="3660" xr:uid="{9507C64E-D9E5-439F-A994-1F2D200CBB42}"/>
    <cellStyle name="40% - Accent3 7 3" xfId="567" xr:uid="{00000000-0005-0000-0000-000032020000}"/>
    <cellStyle name="40% - Accent3 7 3 2" xfId="1393" xr:uid="{6EA42C55-E497-4789-BB6E-E5308C998DB8}"/>
    <cellStyle name="40% - Accent3 7 3 3" xfId="2221" xr:uid="{AADC5F1C-E2D1-4125-963B-289EA487106E}"/>
    <cellStyle name="40% - Accent3 7 3 4" xfId="3045" xr:uid="{F3B0F917-77BD-4CFB-BE33-3E80372EF8E6}"/>
    <cellStyle name="40% - Accent3 7 3 5" xfId="3869" xr:uid="{E5A3EB9C-3436-484F-B527-F5C4AF4F66F2}"/>
    <cellStyle name="40% - Accent3 7 4" xfId="975" xr:uid="{B09A5172-DE0A-4DA5-B772-D9B2123517C6}"/>
    <cellStyle name="40% - Accent3 7 5" xfId="1803" xr:uid="{D67FB3CB-905E-400E-85B9-E1A2DCFD35D2}"/>
    <cellStyle name="40% - Accent3 7 6" xfId="2627" xr:uid="{15EE9928-01C7-4C61-BB3E-8578A03C75B0}"/>
    <cellStyle name="40% - Accent3 7 7" xfId="3451" xr:uid="{C0078616-F6D5-4687-A4BC-260F617BBDD8}"/>
    <cellStyle name="40% - Accent3 8" xfId="241" xr:uid="{00000000-0005-0000-0000-000033020000}"/>
    <cellStyle name="40% - Accent3 8 2" xfId="659" xr:uid="{00000000-0005-0000-0000-000034020000}"/>
    <cellStyle name="40% - Accent3 8 2 2" xfId="1485" xr:uid="{23FCCE18-C482-4C92-99FF-308FC7B9FFEC}"/>
    <cellStyle name="40% - Accent3 8 2 3" xfId="2313" xr:uid="{F0C33FEC-8466-42B3-AB5F-E8917271622B}"/>
    <cellStyle name="40% - Accent3 8 2 4" xfId="3137" xr:uid="{0D902D88-CE8F-4B63-A3F8-D1B673A96F06}"/>
    <cellStyle name="40% - Accent3 8 2 5" xfId="3961" xr:uid="{3001CE03-E4ED-4504-B343-8D5DA18611F4}"/>
    <cellStyle name="40% - Accent3 8 3" xfId="1067" xr:uid="{CDA6C95F-24FA-460D-8E3C-83C6E02C7DFA}"/>
    <cellStyle name="40% - Accent3 8 4" xfId="1895" xr:uid="{95A7F47C-B407-4493-90BB-93738707D374}"/>
    <cellStyle name="40% - Accent3 8 5" xfId="2719" xr:uid="{B16CB7B3-CFA0-4C54-A7A2-974C155C39D8}"/>
    <cellStyle name="40% - Accent3 8 6" xfId="3543" xr:uid="{94103674-D241-4F02-8CA0-C31D5B4F4A67}"/>
    <cellStyle name="40% - Accent3 9" xfId="254" xr:uid="{00000000-0005-0000-0000-000035020000}"/>
    <cellStyle name="40% - Accent3 9 2" xfId="671" xr:uid="{00000000-0005-0000-0000-000036020000}"/>
    <cellStyle name="40% - Accent3 9 2 2" xfId="1497" xr:uid="{D97F0152-A286-4010-9204-A37E8F71A96D}"/>
    <cellStyle name="40% - Accent3 9 2 3" xfId="2325" xr:uid="{76177F6D-E60A-437F-A0D9-88E42AD13F2B}"/>
    <cellStyle name="40% - Accent3 9 2 4" xfId="3149" xr:uid="{E0871F9F-7FAD-4802-A797-59C33793D23F}"/>
    <cellStyle name="40% - Accent3 9 2 5" xfId="3973" xr:uid="{1763B446-3947-424E-B76E-9E0CA19D1F18}"/>
    <cellStyle name="40% - Accent3 9 3" xfId="1080" xr:uid="{FAA6423A-170F-4208-B4FF-AAD9B74BC193}"/>
    <cellStyle name="40% - Accent3 9 4" xfId="1908" xr:uid="{ECB12E41-50D0-471F-8BF3-2F18640F7E23}"/>
    <cellStyle name="40% - Accent3 9 5" xfId="2732" xr:uid="{58C9B703-9F2F-4B9B-9DC1-EFCE6A199D5C}"/>
    <cellStyle name="40% - Accent3 9 6" xfId="3556" xr:uid="{0256E011-9D84-4071-8E42-08469ED70788}"/>
    <cellStyle name="40% - Accent4" xfId="33" builtinId="43" customBuiltin="1"/>
    <cellStyle name="40% - Accent4 10" xfId="452" xr:uid="{00000000-0005-0000-0000-000038020000}"/>
    <cellStyle name="40% - Accent4 10 2" xfId="1278" xr:uid="{1EB7A8A0-0230-49FC-B8F1-823AA3A4014B}"/>
    <cellStyle name="40% - Accent4 10 3" xfId="2106" xr:uid="{0910AFE8-EB79-430B-AA8D-F1668BCAE929}"/>
    <cellStyle name="40% - Accent4 10 4" xfId="2930" xr:uid="{B40B863B-5231-4CF0-98A6-B41323BB592E}"/>
    <cellStyle name="40% - Accent4 10 5" xfId="3754" xr:uid="{37FFFED7-A493-4829-8A40-7E95258A6CE9}"/>
    <cellStyle name="40% - Accent4 11" xfId="465" xr:uid="{00000000-0005-0000-0000-000039020000}"/>
    <cellStyle name="40% - Accent4 11 2" xfId="1291" xr:uid="{E28BDF6D-4614-4D5E-8F0A-42B92CB0699E}"/>
    <cellStyle name="40% - Accent4 11 3" xfId="2119" xr:uid="{9994B685-A6E0-4304-BDCD-6788306F4481}"/>
    <cellStyle name="40% - Accent4 11 4" xfId="2943" xr:uid="{EB168ACD-CBAC-47AE-BB3A-3940CA273147}"/>
    <cellStyle name="40% - Accent4 11 5" xfId="3767" xr:uid="{B6BD9C77-6A5A-42E2-A10D-05A95BDB867B}"/>
    <cellStyle name="40% - Accent4 12" xfId="870" xr:uid="{B15D2594-3896-4844-AE24-3FDE3AB68111}"/>
    <cellStyle name="40% - Accent4 13" xfId="1699" xr:uid="{27AABE14-03A3-4A76-A2AC-9D78B205CAC3}"/>
    <cellStyle name="40% - Accent4 14" xfId="2523" xr:uid="{975478A9-3CDF-4A53-87D4-CC25D32B42EC}"/>
    <cellStyle name="40% - Accent4 15" xfId="3347" xr:uid="{A6DB400E-78B3-4401-935D-BC592D67DFF9}"/>
    <cellStyle name="40% - Accent4 2" xfId="59" xr:uid="{00000000-0005-0000-0000-00003A020000}"/>
    <cellStyle name="40% - Accent4 2 2" xfId="112" xr:uid="{00000000-0005-0000-0000-00003B020000}"/>
    <cellStyle name="40% - Accent4 2 2 2" xfId="217" xr:uid="{00000000-0005-0000-0000-00003C020000}"/>
    <cellStyle name="40% - Accent4 2 2 2 2" xfId="426" xr:uid="{00000000-0005-0000-0000-00003D020000}"/>
    <cellStyle name="40% - Accent4 2 2 2 2 2" xfId="843" xr:uid="{00000000-0005-0000-0000-00003E020000}"/>
    <cellStyle name="40% - Accent4 2 2 2 2 2 2" xfId="1669" xr:uid="{1BF22157-8D3B-44B6-98A7-67C0621A51BA}"/>
    <cellStyle name="40% - Accent4 2 2 2 2 2 3" xfId="2497" xr:uid="{014B8CBE-73EB-4CFD-8D18-62EDEB8A3509}"/>
    <cellStyle name="40% - Accent4 2 2 2 2 2 4" xfId="3321" xr:uid="{FB0E618F-64CC-4D7F-8B2E-50012418FBE9}"/>
    <cellStyle name="40% - Accent4 2 2 2 2 2 5" xfId="4145" xr:uid="{4CFFFA68-3D99-497F-82D7-425E357B45D7}"/>
    <cellStyle name="40% - Accent4 2 2 2 2 3" xfId="1252" xr:uid="{57AEDE4C-E885-41DD-BE47-0A073D335502}"/>
    <cellStyle name="40% - Accent4 2 2 2 2 4" xfId="2080" xr:uid="{1DCF0E8A-30EB-40CE-B8AD-4C6A56193A21}"/>
    <cellStyle name="40% - Accent4 2 2 2 2 5" xfId="2904" xr:uid="{A993293C-14CB-4AEB-941B-743FCDE0A38B}"/>
    <cellStyle name="40% - Accent4 2 2 2 2 6" xfId="3728" xr:uid="{6F875820-BFEB-42BA-9AB8-09A1F2301CB5}"/>
    <cellStyle name="40% - Accent4 2 2 2 3" xfId="635" xr:uid="{00000000-0005-0000-0000-00003F020000}"/>
    <cellStyle name="40% - Accent4 2 2 2 3 2" xfId="1461" xr:uid="{008C2FEE-E158-4605-AD05-AF3AF269F2D0}"/>
    <cellStyle name="40% - Accent4 2 2 2 3 3" xfId="2289" xr:uid="{A179B41D-1AE8-4959-95E2-23F2EC90AB0B}"/>
    <cellStyle name="40% - Accent4 2 2 2 3 4" xfId="3113" xr:uid="{B5594B2E-60E9-4E1A-988C-CCE88CB90F26}"/>
    <cellStyle name="40% - Accent4 2 2 2 3 5" xfId="3937" xr:uid="{A5805615-1C0B-4244-A9AC-6644E94A4CAA}"/>
    <cellStyle name="40% - Accent4 2 2 2 4" xfId="1043" xr:uid="{90E2DDB2-1E65-44A3-AE21-07700426DAE2}"/>
    <cellStyle name="40% - Accent4 2 2 2 5" xfId="1871" xr:uid="{EAFE5A7E-B8BA-4F61-8DEB-46948C71C1DC}"/>
    <cellStyle name="40% - Accent4 2 2 2 6" xfId="2695" xr:uid="{4EDFB017-F9A8-4E9E-B1E2-D38AC9AA8B70}"/>
    <cellStyle name="40% - Accent4 2 2 2 7" xfId="3519" xr:uid="{8E29864C-C38E-449A-A17E-AD2A6A36C05D}"/>
    <cellStyle name="40% - Accent4 2 2 3" xfId="322" xr:uid="{00000000-0005-0000-0000-000040020000}"/>
    <cellStyle name="40% - Accent4 2 2 3 2" xfId="739" xr:uid="{00000000-0005-0000-0000-000041020000}"/>
    <cellStyle name="40% - Accent4 2 2 3 2 2" xfId="1565" xr:uid="{3BBC0C69-4CCA-4BB4-B366-C502C35F03BC}"/>
    <cellStyle name="40% - Accent4 2 2 3 2 3" xfId="2393" xr:uid="{7C716A46-8744-409D-A570-EA9344338459}"/>
    <cellStyle name="40% - Accent4 2 2 3 2 4" xfId="3217" xr:uid="{AADFBB49-9AD2-4577-885C-13D09FB8C92A}"/>
    <cellStyle name="40% - Accent4 2 2 3 2 5" xfId="4041" xr:uid="{6631209B-0FED-4A69-8501-3040B67BC34E}"/>
    <cellStyle name="40% - Accent4 2 2 3 3" xfId="1148" xr:uid="{9CBE3CD8-0BCC-4E98-A26C-9ECD3DF052FC}"/>
    <cellStyle name="40% - Accent4 2 2 3 4" xfId="1976" xr:uid="{D7A78D23-8E90-40C3-A4CF-6BB32890DBE7}"/>
    <cellStyle name="40% - Accent4 2 2 3 5" xfId="2800" xr:uid="{82662E8C-456B-40DD-9B9B-B8C662D60910}"/>
    <cellStyle name="40% - Accent4 2 2 3 6" xfId="3624" xr:uid="{72BC4C43-816C-4911-8CD1-E462DCD91B7A}"/>
    <cellStyle name="40% - Accent4 2 2 4" xfId="531" xr:uid="{00000000-0005-0000-0000-000042020000}"/>
    <cellStyle name="40% - Accent4 2 2 4 2" xfId="1357" xr:uid="{4DA6F600-A639-472A-8093-C9AFCBA46869}"/>
    <cellStyle name="40% - Accent4 2 2 4 3" xfId="2185" xr:uid="{B4ADDC2E-9659-41AC-AEAE-27C9AFEF5EFD}"/>
    <cellStyle name="40% - Accent4 2 2 4 4" xfId="3009" xr:uid="{A967B404-D362-4CAE-BC67-6B3A29572E71}"/>
    <cellStyle name="40% - Accent4 2 2 4 5" xfId="3833" xr:uid="{E237FB7D-A46C-476D-B8DF-29C151A62D15}"/>
    <cellStyle name="40% - Accent4 2 2 5" xfId="938" xr:uid="{1B1FFC45-CFB3-4C2B-95AA-EA619CF17C22}"/>
    <cellStyle name="40% - Accent4 2 2 6" xfId="1766" xr:uid="{6896737D-4E74-407C-AE19-BFAFB9F41048}"/>
    <cellStyle name="40% - Accent4 2 2 7" xfId="2590" xr:uid="{A6B3D79B-ACA8-4875-9751-2BF4161A24DC}"/>
    <cellStyle name="40% - Accent4 2 2 8" xfId="3414" xr:uid="{5B0E6B38-912F-4994-A017-9701D4297F10}"/>
    <cellStyle name="40% - Accent4 2 3" xfId="165" xr:uid="{00000000-0005-0000-0000-000043020000}"/>
    <cellStyle name="40% - Accent4 2 3 2" xfId="374" xr:uid="{00000000-0005-0000-0000-000044020000}"/>
    <cellStyle name="40% - Accent4 2 3 2 2" xfId="791" xr:uid="{00000000-0005-0000-0000-000045020000}"/>
    <cellStyle name="40% - Accent4 2 3 2 2 2" xfId="1617" xr:uid="{12911600-774E-4FAF-9AA9-88D96987F54B}"/>
    <cellStyle name="40% - Accent4 2 3 2 2 3" xfId="2445" xr:uid="{3BDA6995-BC70-427D-BCB0-F973DFA62C01}"/>
    <cellStyle name="40% - Accent4 2 3 2 2 4" xfId="3269" xr:uid="{58BDB4AB-EF8D-4B27-96AF-68229C19E03A}"/>
    <cellStyle name="40% - Accent4 2 3 2 2 5" xfId="4093" xr:uid="{A604F143-8D35-4620-82B2-892475A59024}"/>
    <cellStyle name="40% - Accent4 2 3 2 3" xfId="1200" xr:uid="{0780252F-9C21-4195-BD7D-C61A41211A10}"/>
    <cellStyle name="40% - Accent4 2 3 2 4" xfId="2028" xr:uid="{254184CC-10B7-4FE3-8C60-0BAB89AAE231}"/>
    <cellStyle name="40% - Accent4 2 3 2 5" xfId="2852" xr:uid="{BE3DD3B2-4845-43B3-BB96-E2B3C4BB762B}"/>
    <cellStyle name="40% - Accent4 2 3 2 6" xfId="3676" xr:uid="{52B2EF8E-6F7C-41E4-BBC7-76AB78CE6A13}"/>
    <cellStyle name="40% - Accent4 2 3 3" xfId="583" xr:uid="{00000000-0005-0000-0000-000046020000}"/>
    <cellStyle name="40% - Accent4 2 3 3 2" xfId="1409" xr:uid="{2024F258-0DE8-43D3-97A8-A0F4BFF656A6}"/>
    <cellStyle name="40% - Accent4 2 3 3 3" xfId="2237" xr:uid="{0CBB9E64-6AF3-429B-8893-CC02039C475A}"/>
    <cellStyle name="40% - Accent4 2 3 3 4" xfId="3061" xr:uid="{C34D9FEB-DE26-4E7C-90A9-63501183EE8A}"/>
    <cellStyle name="40% - Accent4 2 3 3 5" xfId="3885" xr:uid="{067A5F80-B389-4C08-81E5-2136900D8B57}"/>
    <cellStyle name="40% - Accent4 2 3 4" xfId="991" xr:uid="{E8B212E8-5130-4429-ADDC-6AB71F74E001}"/>
    <cellStyle name="40% - Accent4 2 3 5" xfId="1819" xr:uid="{0F2D0847-8561-48DF-8539-E3026FA39203}"/>
    <cellStyle name="40% - Accent4 2 3 6" xfId="2643" xr:uid="{779038CE-25E7-4443-992B-0C6FDEEBBC4A}"/>
    <cellStyle name="40% - Accent4 2 3 7" xfId="3467" xr:uid="{97A7E287-474F-4266-BF7B-A1FBBC1C418A}"/>
    <cellStyle name="40% - Accent4 2 4" xfId="270" xr:uid="{00000000-0005-0000-0000-000047020000}"/>
    <cellStyle name="40% - Accent4 2 4 2" xfId="687" xr:uid="{00000000-0005-0000-0000-000048020000}"/>
    <cellStyle name="40% - Accent4 2 4 2 2" xfId="1513" xr:uid="{2B84A6A0-FE1B-43B6-A3E3-B018C77536AB}"/>
    <cellStyle name="40% - Accent4 2 4 2 3" xfId="2341" xr:uid="{B3E9A86B-46A1-4FC4-9550-A41AE7716E60}"/>
    <cellStyle name="40% - Accent4 2 4 2 4" xfId="3165" xr:uid="{4D1659AB-9E86-4215-A97E-68833F85B23C}"/>
    <cellStyle name="40% - Accent4 2 4 2 5" xfId="3989" xr:uid="{A46C9181-125F-48B8-8605-383C24B266BE}"/>
    <cellStyle name="40% - Accent4 2 4 3" xfId="1096" xr:uid="{DA075917-5B6E-4F22-8094-BF0FFD0D5C5B}"/>
    <cellStyle name="40% - Accent4 2 4 4" xfId="1924" xr:uid="{BC1305ED-ABEB-48AC-AE1E-2A6DD5D4CAEE}"/>
    <cellStyle name="40% - Accent4 2 4 5" xfId="2748" xr:uid="{AD671FA8-E40A-4EE3-B809-3BCB303682FB}"/>
    <cellStyle name="40% - Accent4 2 4 6" xfId="3572" xr:uid="{AA4700DF-6ACA-4F89-9469-741545BA0C5F}"/>
    <cellStyle name="40% - Accent4 2 5" xfId="479" xr:uid="{00000000-0005-0000-0000-000049020000}"/>
    <cellStyle name="40% - Accent4 2 5 2" xfId="1305" xr:uid="{281003AA-47B5-4027-A141-C0585A8AD7DA}"/>
    <cellStyle name="40% - Accent4 2 5 3" xfId="2133" xr:uid="{4FD7B327-DF15-432E-BF89-A20D9EDC3B46}"/>
    <cellStyle name="40% - Accent4 2 5 4" xfId="2957" xr:uid="{5E462E48-E361-49FC-83F5-57DDBAB20ACF}"/>
    <cellStyle name="40% - Accent4 2 5 5" xfId="3781" xr:uid="{EF456B61-3FAF-4870-97AB-F0FE7B971583}"/>
    <cellStyle name="40% - Accent4 2 6" xfId="885" xr:uid="{C2B9FFB9-0785-4A27-82BC-F349A239FD8A}"/>
    <cellStyle name="40% - Accent4 2 7" xfId="1713" xr:uid="{A779C282-11D5-4D3E-95F2-B3B8294D5942}"/>
    <cellStyle name="40% - Accent4 2 8" xfId="2537" xr:uid="{D689241F-CE3B-4A40-840B-415A5DD764AF}"/>
    <cellStyle name="40% - Accent4 2 9" xfId="3361" xr:uid="{95B83850-4A56-4787-85A1-495ED3D4E63C}"/>
    <cellStyle name="40% - Accent4 3" xfId="72" xr:uid="{00000000-0005-0000-0000-00004A020000}"/>
    <cellStyle name="40% - Accent4 3 2" xfId="125" xr:uid="{00000000-0005-0000-0000-00004B020000}"/>
    <cellStyle name="40% - Accent4 3 2 2" xfId="230" xr:uid="{00000000-0005-0000-0000-00004C020000}"/>
    <cellStyle name="40% - Accent4 3 2 2 2" xfId="439" xr:uid="{00000000-0005-0000-0000-00004D020000}"/>
    <cellStyle name="40% - Accent4 3 2 2 2 2" xfId="856" xr:uid="{00000000-0005-0000-0000-00004E020000}"/>
    <cellStyle name="40% - Accent4 3 2 2 2 2 2" xfId="1682" xr:uid="{9CCAD123-C72A-44C4-9797-4ECEE9363035}"/>
    <cellStyle name="40% - Accent4 3 2 2 2 2 3" xfId="2510" xr:uid="{226A90C2-2D4C-4E5F-BD08-DC139DE95008}"/>
    <cellStyle name="40% - Accent4 3 2 2 2 2 4" xfId="3334" xr:uid="{1B963CF7-B29A-4DDB-8CBF-F4AF4820AC50}"/>
    <cellStyle name="40% - Accent4 3 2 2 2 2 5" xfId="4158" xr:uid="{FCF647C6-3710-45AC-85E1-74201F0CD280}"/>
    <cellStyle name="40% - Accent4 3 2 2 2 3" xfId="1265" xr:uid="{17AB946D-ABCD-4426-8A2D-C214CCBF6E48}"/>
    <cellStyle name="40% - Accent4 3 2 2 2 4" xfId="2093" xr:uid="{E6716AC5-0D8B-4E2B-B863-0BAF4CD7855A}"/>
    <cellStyle name="40% - Accent4 3 2 2 2 5" xfId="2917" xr:uid="{7CDFE4B9-047D-4029-80D8-FF7AE55C33F9}"/>
    <cellStyle name="40% - Accent4 3 2 2 2 6" xfId="3741" xr:uid="{7D238E2D-A31B-4B02-8900-4EC6DBAAC7F4}"/>
    <cellStyle name="40% - Accent4 3 2 2 3" xfId="648" xr:uid="{00000000-0005-0000-0000-00004F020000}"/>
    <cellStyle name="40% - Accent4 3 2 2 3 2" xfId="1474" xr:uid="{18B3C32C-DF24-427C-AEC2-FF2F4D561EE8}"/>
    <cellStyle name="40% - Accent4 3 2 2 3 3" xfId="2302" xr:uid="{C8DE9609-ABE3-48BC-BCC6-16500415CB6F}"/>
    <cellStyle name="40% - Accent4 3 2 2 3 4" xfId="3126" xr:uid="{AA26ADB0-90B6-44C3-ABE1-4074DB9BC591}"/>
    <cellStyle name="40% - Accent4 3 2 2 3 5" xfId="3950" xr:uid="{D146DFC5-36CF-43BC-8CD3-77EFA07DA98E}"/>
    <cellStyle name="40% - Accent4 3 2 2 4" xfId="1056" xr:uid="{F225DCD3-F6C2-461C-ACAD-4D6528DFDEA9}"/>
    <cellStyle name="40% - Accent4 3 2 2 5" xfId="1884" xr:uid="{6E732410-7D66-415D-AF2D-FE7DC0A926B0}"/>
    <cellStyle name="40% - Accent4 3 2 2 6" xfId="2708" xr:uid="{6F4FAA57-A5DF-4C8D-ACF9-28C0B721D18C}"/>
    <cellStyle name="40% - Accent4 3 2 2 7" xfId="3532" xr:uid="{3D999C3C-F75D-4FF8-8145-D835572A512F}"/>
    <cellStyle name="40% - Accent4 3 2 3" xfId="335" xr:uid="{00000000-0005-0000-0000-000050020000}"/>
    <cellStyle name="40% - Accent4 3 2 3 2" xfId="752" xr:uid="{00000000-0005-0000-0000-000051020000}"/>
    <cellStyle name="40% - Accent4 3 2 3 2 2" xfId="1578" xr:uid="{884FB93B-5A2F-4C99-8FE0-B240E096559D}"/>
    <cellStyle name="40% - Accent4 3 2 3 2 3" xfId="2406" xr:uid="{FFE7F70F-4C9A-4E55-9C56-4EBF90E11E25}"/>
    <cellStyle name="40% - Accent4 3 2 3 2 4" xfId="3230" xr:uid="{20949F17-2538-4375-9CE3-74C120E014B8}"/>
    <cellStyle name="40% - Accent4 3 2 3 2 5" xfId="4054" xr:uid="{A5137A97-4FE0-4E97-A4A5-88140C5C449C}"/>
    <cellStyle name="40% - Accent4 3 2 3 3" xfId="1161" xr:uid="{DABAF570-4AEB-48C4-BE60-FDC62A7A262D}"/>
    <cellStyle name="40% - Accent4 3 2 3 4" xfId="1989" xr:uid="{5288DAE4-9BA1-4024-9E5B-33769A2F2DE5}"/>
    <cellStyle name="40% - Accent4 3 2 3 5" xfId="2813" xr:uid="{005B5D26-ECDF-4A54-AA7E-A6B42ADCC0D3}"/>
    <cellStyle name="40% - Accent4 3 2 3 6" xfId="3637" xr:uid="{728EDD99-2E3D-43E3-8870-5110C94D69F1}"/>
    <cellStyle name="40% - Accent4 3 2 4" xfId="544" xr:uid="{00000000-0005-0000-0000-000052020000}"/>
    <cellStyle name="40% - Accent4 3 2 4 2" xfId="1370" xr:uid="{C7309C3B-99E7-4B89-863C-E46B247065FD}"/>
    <cellStyle name="40% - Accent4 3 2 4 3" xfId="2198" xr:uid="{3BD899B5-D016-48EB-8F21-9659019BC967}"/>
    <cellStyle name="40% - Accent4 3 2 4 4" xfId="3022" xr:uid="{D937AF3F-FFE5-421A-9858-FF5CD782F184}"/>
    <cellStyle name="40% - Accent4 3 2 4 5" xfId="3846" xr:uid="{336FA7DD-6704-416C-9B39-69F97492240E}"/>
    <cellStyle name="40% - Accent4 3 2 5" xfId="951" xr:uid="{45C225B7-901F-4782-A05D-94D931FC3BC7}"/>
    <cellStyle name="40% - Accent4 3 2 6" xfId="1779" xr:uid="{56F21DCE-2614-4649-ADBC-6D7C060AFA8D}"/>
    <cellStyle name="40% - Accent4 3 2 7" xfId="2603" xr:uid="{ED5E4B08-FA00-4F7A-AB08-E81DBF1B5DCF}"/>
    <cellStyle name="40% - Accent4 3 2 8" xfId="3427" xr:uid="{5815081F-8D80-4B92-A93D-A6A66111875A}"/>
    <cellStyle name="40% - Accent4 3 3" xfId="178" xr:uid="{00000000-0005-0000-0000-000053020000}"/>
    <cellStyle name="40% - Accent4 3 3 2" xfId="387" xr:uid="{00000000-0005-0000-0000-000054020000}"/>
    <cellStyle name="40% - Accent4 3 3 2 2" xfId="804" xr:uid="{00000000-0005-0000-0000-000055020000}"/>
    <cellStyle name="40% - Accent4 3 3 2 2 2" xfId="1630" xr:uid="{E8199C88-4068-4435-B0AF-77ECB43C0B61}"/>
    <cellStyle name="40% - Accent4 3 3 2 2 3" xfId="2458" xr:uid="{9548AA29-8336-4358-8835-A3CB80ACA7BC}"/>
    <cellStyle name="40% - Accent4 3 3 2 2 4" xfId="3282" xr:uid="{41C651F9-54C2-4E7D-9EAC-BD320EE9A866}"/>
    <cellStyle name="40% - Accent4 3 3 2 2 5" xfId="4106" xr:uid="{B932568C-EA5F-4833-B826-4D853F93DA06}"/>
    <cellStyle name="40% - Accent4 3 3 2 3" xfId="1213" xr:uid="{95D962E2-8C75-44E8-801F-79BE765E3F41}"/>
    <cellStyle name="40% - Accent4 3 3 2 4" xfId="2041" xr:uid="{B072C2B7-2375-4959-9136-65461576E068}"/>
    <cellStyle name="40% - Accent4 3 3 2 5" xfId="2865" xr:uid="{0547A800-68A6-412B-9AA5-DDF268684E32}"/>
    <cellStyle name="40% - Accent4 3 3 2 6" xfId="3689" xr:uid="{19FBB35F-2BF6-431A-BD5F-BAAD3CC9DFCF}"/>
    <cellStyle name="40% - Accent4 3 3 3" xfId="596" xr:uid="{00000000-0005-0000-0000-000056020000}"/>
    <cellStyle name="40% - Accent4 3 3 3 2" xfId="1422" xr:uid="{5EE55AAB-E801-4CCC-8B32-D6666E76CA74}"/>
    <cellStyle name="40% - Accent4 3 3 3 3" xfId="2250" xr:uid="{D69A916A-3126-4D2D-A41C-EA59B10ABD57}"/>
    <cellStyle name="40% - Accent4 3 3 3 4" xfId="3074" xr:uid="{681EC37D-9390-4215-A473-3B5041631852}"/>
    <cellStyle name="40% - Accent4 3 3 3 5" xfId="3898" xr:uid="{2B787062-7587-4F3E-8A75-59A5B597BC7C}"/>
    <cellStyle name="40% - Accent4 3 3 4" xfId="1004" xr:uid="{6EC24B09-131A-45B2-8D4F-D5B4211690F5}"/>
    <cellStyle name="40% - Accent4 3 3 5" xfId="1832" xr:uid="{DCC124D5-AAF8-4504-AAD9-C28CF1428764}"/>
    <cellStyle name="40% - Accent4 3 3 6" xfId="2656" xr:uid="{321F3640-BCFA-4291-AA1D-5ED9FDDA0AE1}"/>
    <cellStyle name="40% - Accent4 3 3 7" xfId="3480" xr:uid="{A241796D-FF1E-4053-958C-C550381F1AC1}"/>
    <cellStyle name="40% - Accent4 3 4" xfId="283" xr:uid="{00000000-0005-0000-0000-000057020000}"/>
    <cellStyle name="40% - Accent4 3 4 2" xfId="700" xr:uid="{00000000-0005-0000-0000-000058020000}"/>
    <cellStyle name="40% - Accent4 3 4 2 2" xfId="1526" xr:uid="{29E7CF3C-2C58-4657-BC11-7F28FDFEB79C}"/>
    <cellStyle name="40% - Accent4 3 4 2 3" xfId="2354" xr:uid="{70952186-433C-49E6-B4E8-54738C8EAA44}"/>
    <cellStyle name="40% - Accent4 3 4 2 4" xfId="3178" xr:uid="{17BE6272-1C0F-4294-AF9A-21A9D926E466}"/>
    <cellStyle name="40% - Accent4 3 4 2 5" xfId="4002" xr:uid="{97C28C33-3C9C-48F2-BDED-CB39CBB98EF3}"/>
    <cellStyle name="40% - Accent4 3 4 3" xfId="1109" xr:uid="{D1F63570-E50A-4158-9028-8698C396A45F}"/>
    <cellStyle name="40% - Accent4 3 4 4" xfId="1937" xr:uid="{D3FCB2EF-4ADF-4745-BC60-A75CC3E2EB8A}"/>
    <cellStyle name="40% - Accent4 3 4 5" xfId="2761" xr:uid="{9426C406-815A-481E-8D43-EF720584F310}"/>
    <cellStyle name="40% - Accent4 3 4 6" xfId="3585" xr:uid="{C5E7214A-63DB-48C7-809E-BC2B019DF98C}"/>
    <cellStyle name="40% - Accent4 3 5" xfId="492" xr:uid="{00000000-0005-0000-0000-000059020000}"/>
    <cellStyle name="40% - Accent4 3 5 2" xfId="1318" xr:uid="{1FDA25E3-63FA-45CC-8416-FADF749AB639}"/>
    <cellStyle name="40% - Accent4 3 5 3" xfId="2146" xr:uid="{C594F40C-D2E3-4E67-80E0-18BF862A58E6}"/>
    <cellStyle name="40% - Accent4 3 5 4" xfId="2970" xr:uid="{FDB6F724-703A-4924-8218-4AE5A5F2F1D2}"/>
    <cellStyle name="40% - Accent4 3 5 5" xfId="3794" xr:uid="{4B90F4AC-722B-4A18-8FDF-38524AE25B56}"/>
    <cellStyle name="40% - Accent4 3 6" xfId="898" xr:uid="{716B8E7A-E17A-4BB0-A015-B932048835AE}"/>
    <cellStyle name="40% - Accent4 3 7" xfId="1726" xr:uid="{DF860F3E-F4EB-4CDA-8F45-12846279B9E9}"/>
    <cellStyle name="40% - Accent4 3 8" xfId="2550" xr:uid="{D0E72E2A-7FCE-4A36-AFA3-A7F06C3DB8FE}"/>
    <cellStyle name="40% - Accent4 3 9" xfId="3374" xr:uid="{FD9411D7-CD93-4E7B-81E5-7BC3EE1F8616}"/>
    <cellStyle name="40% - Accent4 4" xfId="85" xr:uid="{00000000-0005-0000-0000-00005A020000}"/>
    <cellStyle name="40% - Accent4 4 2" xfId="191" xr:uid="{00000000-0005-0000-0000-00005B020000}"/>
    <cellStyle name="40% - Accent4 4 2 2" xfId="400" xr:uid="{00000000-0005-0000-0000-00005C020000}"/>
    <cellStyle name="40% - Accent4 4 2 2 2" xfId="817" xr:uid="{00000000-0005-0000-0000-00005D020000}"/>
    <cellStyle name="40% - Accent4 4 2 2 2 2" xfId="1643" xr:uid="{90863A70-1497-4988-99D2-45A4649762BB}"/>
    <cellStyle name="40% - Accent4 4 2 2 2 3" xfId="2471" xr:uid="{CE0BD778-6F96-428C-AA0C-894D6C971C1B}"/>
    <cellStyle name="40% - Accent4 4 2 2 2 4" xfId="3295" xr:uid="{9F39E715-A688-4CB5-9BE8-410DDAE05020}"/>
    <cellStyle name="40% - Accent4 4 2 2 2 5" xfId="4119" xr:uid="{ABCECB49-37AB-45AA-9BD8-6E3769310308}"/>
    <cellStyle name="40% - Accent4 4 2 2 3" xfId="1226" xr:uid="{D7A4341C-C8F9-4739-BEB7-AF0942E0AA89}"/>
    <cellStyle name="40% - Accent4 4 2 2 4" xfId="2054" xr:uid="{06E5B4A8-6513-46E6-BFDD-48E0CA1ACA10}"/>
    <cellStyle name="40% - Accent4 4 2 2 5" xfId="2878" xr:uid="{90E6AA88-8683-4124-A76B-355512D49807}"/>
    <cellStyle name="40% - Accent4 4 2 2 6" xfId="3702" xr:uid="{B8CF2DE2-9279-4179-93A3-6D6C6CAF2C16}"/>
    <cellStyle name="40% - Accent4 4 2 3" xfId="609" xr:uid="{00000000-0005-0000-0000-00005E020000}"/>
    <cellStyle name="40% - Accent4 4 2 3 2" xfId="1435" xr:uid="{DEF0D41C-FD62-4FAB-AE1F-D43020F79C3F}"/>
    <cellStyle name="40% - Accent4 4 2 3 3" xfId="2263" xr:uid="{20968668-6FFA-4276-A026-F83A708E222B}"/>
    <cellStyle name="40% - Accent4 4 2 3 4" xfId="3087" xr:uid="{9C5AA26D-3121-4320-834E-64F9F5480151}"/>
    <cellStyle name="40% - Accent4 4 2 3 5" xfId="3911" xr:uid="{0FA41C3C-BA31-4508-8CB9-89CCF9057DF7}"/>
    <cellStyle name="40% - Accent4 4 2 4" xfId="1017" xr:uid="{BF9556DA-6BA6-45E5-A796-95DBFA2AE93E}"/>
    <cellStyle name="40% - Accent4 4 2 5" xfId="1845" xr:uid="{7596B236-B6F2-4E55-BCE0-59A88E8CA4AD}"/>
    <cellStyle name="40% - Accent4 4 2 6" xfId="2669" xr:uid="{110EABBB-0EF0-49F4-B9B6-23482D07E33E}"/>
    <cellStyle name="40% - Accent4 4 2 7" xfId="3493" xr:uid="{407EDF7D-489E-4EC7-931C-BD794DD05556}"/>
    <cellStyle name="40% - Accent4 4 3" xfId="296" xr:uid="{00000000-0005-0000-0000-00005F020000}"/>
    <cellStyle name="40% - Accent4 4 3 2" xfId="713" xr:uid="{00000000-0005-0000-0000-000060020000}"/>
    <cellStyle name="40% - Accent4 4 3 2 2" xfId="1539" xr:uid="{EE50483A-0162-4392-8D33-D83A983D0967}"/>
    <cellStyle name="40% - Accent4 4 3 2 3" xfId="2367" xr:uid="{B692B1B0-971D-403D-B583-2E3E74BDB26A}"/>
    <cellStyle name="40% - Accent4 4 3 2 4" xfId="3191" xr:uid="{D9588C7C-E1FE-42B4-9D50-96B8039D1E4E}"/>
    <cellStyle name="40% - Accent4 4 3 2 5" xfId="4015" xr:uid="{C14C7924-924D-4629-8032-03ADEB694417}"/>
    <cellStyle name="40% - Accent4 4 3 3" xfId="1122" xr:uid="{E0191FBB-1743-44A7-B896-70414F631612}"/>
    <cellStyle name="40% - Accent4 4 3 4" xfId="1950" xr:uid="{1A56B046-072E-4CC0-9C32-E4318A6CBB2D}"/>
    <cellStyle name="40% - Accent4 4 3 5" xfId="2774" xr:uid="{A9AE41CB-955C-4114-8F51-BADA5A1621EF}"/>
    <cellStyle name="40% - Accent4 4 3 6" xfId="3598" xr:uid="{F6D550D1-25C1-49D5-A2B7-D8B8770A1FE5}"/>
    <cellStyle name="40% - Accent4 4 4" xfId="505" xr:uid="{00000000-0005-0000-0000-000061020000}"/>
    <cellStyle name="40% - Accent4 4 4 2" xfId="1331" xr:uid="{7200092A-28E5-4C09-B9C3-3151B08ED2A2}"/>
    <cellStyle name="40% - Accent4 4 4 3" xfId="2159" xr:uid="{396BCBCB-7B94-4D18-AA04-0C5D43837882}"/>
    <cellStyle name="40% - Accent4 4 4 4" xfId="2983" xr:uid="{3F4EF700-1117-456E-B3AB-7078CCDD6B3E}"/>
    <cellStyle name="40% - Accent4 4 4 5" xfId="3807" xr:uid="{EC6CBC5D-F5D3-43D9-A7D0-75A3AE5736C3}"/>
    <cellStyle name="40% - Accent4 4 5" xfId="911" xr:uid="{C0E3841E-8044-4C92-9F19-85C5743937E8}"/>
    <cellStyle name="40% - Accent4 4 6" xfId="1739" xr:uid="{1D2AD21A-CC53-4DA4-9E7E-308EB2687E81}"/>
    <cellStyle name="40% - Accent4 4 7" xfId="2563" xr:uid="{8F8FBE75-008B-4E33-9076-427DB09C3FDB}"/>
    <cellStyle name="40% - Accent4 4 8" xfId="3387" xr:uid="{720D7197-D7BB-4467-8A26-D7E350F62697}"/>
    <cellStyle name="40% - Accent4 5" xfId="98" xr:uid="{00000000-0005-0000-0000-000062020000}"/>
    <cellStyle name="40% - Accent4 5 2" xfId="203" xr:uid="{00000000-0005-0000-0000-000063020000}"/>
    <cellStyle name="40% - Accent4 5 2 2" xfId="412" xr:uid="{00000000-0005-0000-0000-000064020000}"/>
    <cellStyle name="40% - Accent4 5 2 2 2" xfId="829" xr:uid="{00000000-0005-0000-0000-000065020000}"/>
    <cellStyle name="40% - Accent4 5 2 2 2 2" xfId="1655" xr:uid="{91195A42-6B51-40C3-9A41-551AAEE33F10}"/>
    <cellStyle name="40% - Accent4 5 2 2 2 3" xfId="2483" xr:uid="{383AEEDD-88A9-40FB-A9CE-7D6E69A9DB08}"/>
    <cellStyle name="40% - Accent4 5 2 2 2 4" xfId="3307" xr:uid="{D8AC706A-3E3B-459A-9538-601DB05E391C}"/>
    <cellStyle name="40% - Accent4 5 2 2 2 5" xfId="4131" xr:uid="{DAE2B8B2-C656-47DC-BCFB-AE7017D3B44B}"/>
    <cellStyle name="40% - Accent4 5 2 2 3" xfId="1238" xr:uid="{47CCBA33-B234-46E2-B186-36249E1A0C27}"/>
    <cellStyle name="40% - Accent4 5 2 2 4" xfId="2066" xr:uid="{551F0868-92FA-4EA7-88D3-E0EAACD24B12}"/>
    <cellStyle name="40% - Accent4 5 2 2 5" xfId="2890" xr:uid="{F2C1DF63-7653-4256-AA6E-C66009EF97AE}"/>
    <cellStyle name="40% - Accent4 5 2 2 6" xfId="3714" xr:uid="{6DCEBFB5-D6F6-450C-9110-AB18557E7BA8}"/>
    <cellStyle name="40% - Accent4 5 2 3" xfId="621" xr:uid="{00000000-0005-0000-0000-000066020000}"/>
    <cellStyle name="40% - Accent4 5 2 3 2" xfId="1447" xr:uid="{87EE054D-9A5C-41D1-87AB-05608EFF87A6}"/>
    <cellStyle name="40% - Accent4 5 2 3 3" xfId="2275" xr:uid="{E320ECB2-04E6-40D5-8201-507081B2F2EC}"/>
    <cellStyle name="40% - Accent4 5 2 3 4" xfId="3099" xr:uid="{B068E327-5A8F-4EB0-87E2-97D683A34607}"/>
    <cellStyle name="40% - Accent4 5 2 3 5" xfId="3923" xr:uid="{4B3FC7EB-B780-4F30-BF20-52ECF666421E}"/>
    <cellStyle name="40% - Accent4 5 2 4" xfId="1029" xr:uid="{55209C92-599F-4EA4-B28A-6E71D460EA7D}"/>
    <cellStyle name="40% - Accent4 5 2 5" xfId="1857" xr:uid="{95390AE2-85D2-42A6-B6EC-4036E513B703}"/>
    <cellStyle name="40% - Accent4 5 2 6" xfId="2681" xr:uid="{3BEABE39-029D-4876-A0BF-DADD286D18D9}"/>
    <cellStyle name="40% - Accent4 5 2 7" xfId="3505" xr:uid="{AA9C90E9-1CE9-49D1-868F-4A981123F5C5}"/>
    <cellStyle name="40% - Accent4 5 3" xfId="308" xr:uid="{00000000-0005-0000-0000-000067020000}"/>
    <cellStyle name="40% - Accent4 5 3 2" xfId="725" xr:uid="{00000000-0005-0000-0000-000068020000}"/>
    <cellStyle name="40% - Accent4 5 3 2 2" xfId="1551" xr:uid="{150DC448-2FD4-4208-8B0D-879988234C0B}"/>
    <cellStyle name="40% - Accent4 5 3 2 3" xfId="2379" xr:uid="{A7FF455D-1810-448B-8ECC-4CE9C848C928}"/>
    <cellStyle name="40% - Accent4 5 3 2 4" xfId="3203" xr:uid="{04D7BDAD-9377-4AC3-92FD-472E4589A47F}"/>
    <cellStyle name="40% - Accent4 5 3 2 5" xfId="4027" xr:uid="{1C171FE5-88E9-447B-B91A-DE6E1BCB2C93}"/>
    <cellStyle name="40% - Accent4 5 3 3" xfId="1134" xr:uid="{48B07B4A-4F70-4968-B5FE-63573BBDAB70}"/>
    <cellStyle name="40% - Accent4 5 3 4" xfId="1962" xr:uid="{8D6A8500-BE95-4C5E-A991-063C58B9F059}"/>
    <cellStyle name="40% - Accent4 5 3 5" xfId="2786" xr:uid="{0058C3BD-F652-4737-8EE6-FC4620F7F434}"/>
    <cellStyle name="40% - Accent4 5 3 6" xfId="3610" xr:uid="{C2F898F6-3398-463C-959F-1DF8EEC7B18B}"/>
    <cellStyle name="40% - Accent4 5 4" xfId="517" xr:uid="{00000000-0005-0000-0000-000069020000}"/>
    <cellStyle name="40% - Accent4 5 4 2" xfId="1343" xr:uid="{B6266DCA-7C19-4E50-B7E7-38C55D02A837}"/>
    <cellStyle name="40% - Accent4 5 4 3" xfId="2171" xr:uid="{C739B88C-906A-4976-894F-8B3E50D5389F}"/>
    <cellStyle name="40% - Accent4 5 4 4" xfId="2995" xr:uid="{9F4DA740-56D6-4B59-9491-FF6CEF746243}"/>
    <cellStyle name="40% - Accent4 5 4 5" xfId="3819" xr:uid="{1004D200-9369-49B6-95B1-EDCD67FAE13B}"/>
    <cellStyle name="40% - Accent4 5 5" xfId="924" xr:uid="{C4823A86-6172-488B-B1D5-E46BEFF10602}"/>
    <cellStyle name="40% - Accent4 5 6" xfId="1752" xr:uid="{2572319F-8A34-4D9D-A120-04F84DAD3E4E}"/>
    <cellStyle name="40% - Accent4 5 7" xfId="2576" xr:uid="{53BF49F6-7D78-4D99-B0BB-D6FA1A3E0C20}"/>
    <cellStyle name="40% - Accent4 5 8" xfId="3400" xr:uid="{8F9E1B7D-EB29-4327-B1E9-8BB7EDCCBBDA}"/>
    <cellStyle name="40% - Accent4 6" xfId="138" xr:uid="{00000000-0005-0000-0000-00006A020000}"/>
    <cellStyle name="40% - Accent4 6 2" xfId="348" xr:uid="{00000000-0005-0000-0000-00006B020000}"/>
    <cellStyle name="40% - Accent4 6 2 2" xfId="765" xr:uid="{00000000-0005-0000-0000-00006C020000}"/>
    <cellStyle name="40% - Accent4 6 2 2 2" xfId="1591" xr:uid="{435668F9-EE35-47A6-8F35-65EF5401EB4B}"/>
    <cellStyle name="40% - Accent4 6 2 2 3" xfId="2419" xr:uid="{0EA2A1E2-A2C4-4D88-803C-F5F278A64D07}"/>
    <cellStyle name="40% - Accent4 6 2 2 4" xfId="3243" xr:uid="{3EDFD86B-0B3E-4106-990F-389EA15CFE26}"/>
    <cellStyle name="40% - Accent4 6 2 2 5" xfId="4067" xr:uid="{970A3AB0-A5C6-4438-961D-2D92410F1410}"/>
    <cellStyle name="40% - Accent4 6 2 3" xfId="1174" xr:uid="{C6645030-EA6E-47B3-BFC4-688FF105B65B}"/>
    <cellStyle name="40% - Accent4 6 2 4" xfId="2002" xr:uid="{53D5D345-1DCC-4954-8591-E8709282A344}"/>
    <cellStyle name="40% - Accent4 6 2 5" xfId="2826" xr:uid="{EF8EEB9F-35F8-49B6-B8B9-BC0B071441C2}"/>
    <cellStyle name="40% - Accent4 6 2 6" xfId="3650" xr:uid="{790E90E3-6F19-4BA6-8AAD-20098FE9DE58}"/>
    <cellStyle name="40% - Accent4 6 3" xfId="557" xr:uid="{00000000-0005-0000-0000-00006D020000}"/>
    <cellStyle name="40% - Accent4 6 3 2" xfId="1383" xr:uid="{49B4648F-4A23-4BBF-B81B-59F1A20034DA}"/>
    <cellStyle name="40% - Accent4 6 3 3" xfId="2211" xr:uid="{678046E1-6F10-412E-A9C0-FB908E4186EB}"/>
    <cellStyle name="40% - Accent4 6 3 4" xfId="3035" xr:uid="{398346D1-6A15-43D5-A0C5-CFBAFA58CFA1}"/>
    <cellStyle name="40% - Accent4 6 3 5" xfId="3859" xr:uid="{C280C15B-F8C3-4200-9FF9-DC6B9B5BA901}"/>
    <cellStyle name="40% - Accent4 6 4" xfId="964" xr:uid="{5AA721A2-F1E5-41FF-BB9F-64ABDD67505F}"/>
    <cellStyle name="40% - Accent4 6 5" xfId="1792" xr:uid="{8C0D11DE-E2D6-4F1E-80B4-444F3C3FCB53}"/>
    <cellStyle name="40% - Accent4 6 6" xfId="2616" xr:uid="{AB228C88-88C9-42F3-83E5-B6CEBAD37E14}"/>
    <cellStyle name="40% - Accent4 6 7" xfId="3440" xr:uid="{937EBE61-4C2E-44C4-B949-FBD8CCA0F79E}"/>
    <cellStyle name="40% - Accent4 7" xfId="151" xr:uid="{00000000-0005-0000-0000-00006E020000}"/>
    <cellStyle name="40% - Accent4 7 2" xfId="360" xr:uid="{00000000-0005-0000-0000-00006F020000}"/>
    <cellStyle name="40% - Accent4 7 2 2" xfId="777" xr:uid="{00000000-0005-0000-0000-000070020000}"/>
    <cellStyle name="40% - Accent4 7 2 2 2" xfId="1603" xr:uid="{C60F5BC8-4D4A-494A-8E72-D404BB253F78}"/>
    <cellStyle name="40% - Accent4 7 2 2 3" xfId="2431" xr:uid="{C34F0698-9065-4286-B58C-5926B62283A9}"/>
    <cellStyle name="40% - Accent4 7 2 2 4" xfId="3255" xr:uid="{C7BAD7B5-8B2A-479E-863E-1D4BC979B53B}"/>
    <cellStyle name="40% - Accent4 7 2 2 5" xfId="4079" xr:uid="{6A07FB0C-2556-4270-B5A5-0362B7F06231}"/>
    <cellStyle name="40% - Accent4 7 2 3" xfId="1186" xr:uid="{A6A72253-DCA4-47F7-9589-7F3ADE96ABB0}"/>
    <cellStyle name="40% - Accent4 7 2 4" xfId="2014" xr:uid="{14781ABB-A3D8-40DC-B343-0CDFAAB4F0FE}"/>
    <cellStyle name="40% - Accent4 7 2 5" xfId="2838" xr:uid="{59FC1AFC-FAAB-4B19-A61A-674633F4856E}"/>
    <cellStyle name="40% - Accent4 7 2 6" xfId="3662" xr:uid="{2AAF0A30-5779-4651-91D4-2DA4192B282F}"/>
    <cellStyle name="40% - Accent4 7 3" xfId="569" xr:uid="{00000000-0005-0000-0000-000071020000}"/>
    <cellStyle name="40% - Accent4 7 3 2" xfId="1395" xr:uid="{36084740-7814-4F28-9719-22AC7AD4109A}"/>
    <cellStyle name="40% - Accent4 7 3 3" xfId="2223" xr:uid="{72CF6013-4DE4-4261-8107-44C0E4598B05}"/>
    <cellStyle name="40% - Accent4 7 3 4" xfId="3047" xr:uid="{CA5BF0CB-328E-48B9-96E0-077A69F97BF6}"/>
    <cellStyle name="40% - Accent4 7 3 5" xfId="3871" xr:uid="{B21E961D-BDEA-458F-9A15-0F560D5E3BFF}"/>
    <cellStyle name="40% - Accent4 7 4" xfId="977" xr:uid="{EAED9FC9-03E3-4067-8A4A-E5BDADD31EBB}"/>
    <cellStyle name="40% - Accent4 7 5" xfId="1805" xr:uid="{0719E959-F775-4D66-B34F-DF04DCFDF683}"/>
    <cellStyle name="40% - Accent4 7 6" xfId="2629" xr:uid="{8ECE6886-B3CC-49CF-ABFE-5604221C1F98}"/>
    <cellStyle name="40% - Accent4 7 7" xfId="3453" xr:uid="{8F08C235-F856-45F9-99BB-BF2F236434C9}"/>
    <cellStyle name="40% - Accent4 8" xfId="243" xr:uid="{00000000-0005-0000-0000-000072020000}"/>
    <cellStyle name="40% - Accent4 8 2" xfId="661" xr:uid="{00000000-0005-0000-0000-000073020000}"/>
    <cellStyle name="40% - Accent4 8 2 2" xfId="1487" xr:uid="{4D1ED656-DE91-4CAA-A45A-C9E66F8FE518}"/>
    <cellStyle name="40% - Accent4 8 2 3" xfId="2315" xr:uid="{6483D1FB-B996-4493-AC5B-2DFD5409E05B}"/>
    <cellStyle name="40% - Accent4 8 2 4" xfId="3139" xr:uid="{014D25EF-454C-42E1-AED0-F56C91DFC863}"/>
    <cellStyle name="40% - Accent4 8 2 5" xfId="3963" xr:uid="{3C872205-7C7E-42B7-B200-96BDF4DF3335}"/>
    <cellStyle name="40% - Accent4 8 3" xfId="1069" xr:uid="{9C9129B0-613E-4BB8-8E14-739709CAB9CC}"/>
    <cellStyle name="40% - Accent4 8 4" xfId="1897" xr:uid="{6B1C063B-985F-4E4C-B10F-959A0797315E}"/>
    <cellStyle name="40% - Accent4 8 5" xfId="2721" xr:uid="{23FC280E-4312-4A42-9882-7ED083824554}"/>
    <cellStyle name="40% - Accent4 8 6" xfId="3545" xr:uid="{B5F13A1C-86F1-4F2D-B03E-36671923D376}"/>
    <cellStyle name="40% - Accent4 9" xfId="256" xr:uid="{00000000-0005-0000-0000-000074020000}"/>
    <cellStyle name="40% - Accent4 9 2" xfId="673" xr:uid="{00000000-0005-0000-0000-000075020000}"/>
    <cellStyle name="40% - Accent4 9 2 2" xfId="1499" xr:uid="{1A45D725-8963-43A3-A5D4-142682D7A9C4}"/>
    <cellStyle name="40% - Accent4 9 2 3" xfId="2327" xr:uid="{BA23BFCD-5897-4C55-99E5-E2AD5304F056}"/>
    <cellStyle name="40% - Accent4 9 2 4" xfId="3151" xr:uid="{D9623A47-31DD-4B7D-9CAB-1462BC1B6650}"/>
    <cellStyle name="40% - Accent4 9 2 5" xfId="3975" xr:uid="{565DF142-A315-4C3D-AAC3-B371DC750F07}"/>
    <cellStyle name="40% - Accent4 9 3" xfId="1082" xr:uid="{466348FE-35EC-400A-8D3C-272C6D355F96}"/>
    <cellStyle name="40% - Accent4 9 4" xfId="1910" xr:uid="{AEEF3552-24B7-4E57-B9AB-783EB75D63A2}"/>
    <cellStyle name="40% - Accent4 9 5" xfId="2734" xr:uid="{00D77EE1-3558-4F5E-BB26-F53E6458BEF8}"/>
    <cellStyle name="40% - Accent4 9 6" xfId="3558" xr:uid="{9CA19F00-6CE0-441F-B1BA-C61AA6BE1F15}"/>
    <cellStyle name="40% - Accent5" xfId="36" builtinId="47" customBuiltin="1"/>
    <cellStyle name="40% - Accent5 10" xfId="454" xr:uid="{00000000-0005-0000-0000-000077020000}"/>
    <cellStyle name="40% - Accent5 10 2" xfId="1280" xr:uid="{A45E739F-CD22-42D6-8405-CA031EC90428}"/>
    <cellStyle name="40% - Accent5 10 3" xfId="2108" xr:uid="{53478FD2-9B63-44F8-AD63-618B90D4ED0C}"/>
    <cellStyle name="40% - Accent5 10 4" xfId="2932" xr:uid="{316049C0-50BC-470D-9211-E3D0E55E3C45}"/>
    <cellStyle name="40% - Accent5 10 5" xfId="3756" xr:uid="{4388CE7E-EDEE-4579-9BFF-F35A1638697D}"/>
    <cellStyle name="40% - Accent5 11" xfId="467" xr:uid="{00000000-0005-0000-0000-000078020000}"/>
    <cellStyle name="40% - Accent5 11 2" xfId="1293" xr:uid="{D2DF9057-5AAF-4245-9C6B-BB339A1416FE}"/>
    <cellStyle name="40% - Accent5 11 3" xfId="2121" xr:uid="{F47F4A97-7ACF-4D8F-B0F7-9538ACFE6C76}"/>
    <cellStyle name="40% - Accent5 11 4" xfId="2945" xr:uid="{5ED46778-F128-4B1D-891E-7175490EDAF0}"/>
    <cellStyle name="40% - Accent5 11 5" xfId="3769" xr:uid="{7CE47AE9-0CDE-4526-A753-1672FD48A3D6}"/>
    <cellStyle name="40% - Accent5 12" xfId="872" xr:uid="{62E717AE-7698-40CD-B90E-D897051B1AA9}"/>
    <cellStyle name="40% - Accent5 13" xfId="1701" xr:uid="{0D2BE159-7C09-4BF6-94AE-7E750411C86A}"/>
    <cellStyle name="40% - Accent5 14" xfId="2525" xr:uid="{E71D6581-A6B9-46FC-8561-1AC87B0FC70F}"/>
    <cellStyle name="40% - Accent5 15" xfId="3349" xr:uid="{371C248D-ACBE-4AC6-869B-03F89823164C}"/>
    <cellStyle name="40% - Accent5 2" xfId="61" xr:uid="{00000000-0005-0000-0000-000079020000}"/>
    <cellStyle name="40% - Accent5 2 2" xfId="114" xr:uid="{00000000-0005-0000-0000-00007A020000}"/>
    <cellStyle name="40% - Accent5 2 2 2" xfId="219" xr:uid="{00000000-0005-0000-0000-00007B020000}"/>
    <cellStyle name="40% - Accent5 2 2 2 2" xfId="428" xr:uid="{00000000-0005-0000-0000-00007C020000}"/>
    <cellStyle name="40% - Accent5 2 2 2 2 2" xfId="845" xr:uid="{00000000-0005-0000-0000-00007D020000}"/>
    <cellStyle name="40% - Accent5 2 2 2 2 2 2" xfId="1671" xr:uid="{551A3D74-3957-41CB-8F2A-705808CAD94F}"/>
    <cellStyle name="40% - Accent5 2 2 2 2 2 3" xfId="2499" xr:uid="{9994DAB7-9FC5-4A11-B0CB-AA5837551CC9}"/>
    <cellStyle name="40% - Accent5 2 2 2 2 2 4" xfId="3323" xr:uid="{15C94CDC-AE5D-4D93-BA80-66BE4B70926A}"/>
    <cellStyle name="40% - Accent5 2 2 2 2 2 5" xfId="4147" xr:uid="{94E284FB-7531-4AF7-B375-58C45666741B}"/>
    <cellStyle name="40% - Accent5 2 2 2 2 3" xfId="1254" xr:uid="{5FD31DFA-A56D-4788-8670-A36E7978FD34}"/>
    <cellStyle name="40% - Accent5 2 2 2 2 4" xfId="2082" xr:uid="{56983479-AE67-47D7-AF9F-31131A5F4285}"/>
    <cellStyle name="40% - Accent5 2 2 2 2 5" xfId="2906" xr:uid="{4F7D3830-6F4A-4A68-9AD5-368A75136C78}"/>
    <cellStyle name="40% - Accent5 2 2 2 2 6" xfId="3730" xr:uid="{BBE07A8A-39F5-45F1-AA87-95D65475BD1A}"/>
    <cellStyle name="40% - Accent5 2 2 2 3" xfId="637" xr:uid="{00000000-0005-0000-0000-00007E020000}"/>
    <cellStyle name="40% - Accent5 2 2 2 3 2" xfId="1463" xr:uid="{077FDB28-C73D-4BDB-B432-555C1900A7AC}"/>
    <cellStyle name="40% - Accent5 2 2 2 3 3" xfId="2291" xr:uid="{ABAD6C5F-6F79-493D-8AC3-D60F7C991114}"/>
    <cellStyle name="40% - Accent5 2 2 2 3 4" xfId="3115" xr:uid="{6436A6EA-11AD-4973-93F9-9B806528BE00}"/>
    <cellStyle name="40% - Accent5 2 2 2 3 5" xfId="3939" xr:uid="{02BADAD4-7EC7-4264-8764-63749D859482}"/>
    <cellStyle name="40% - Accent5 2 2 2 4" xfId="1045" xr:uid="{C4DC1FB8-CFF5-418A-89B6-18E4B1A51EF7}"/>
    <cellStyle name="40% - Accent5 2 2 2 5" xfId="1873" xr:uid="{C0F7D4B1-1062-4EB8-8ED4-B0E40BAD42E4}"/>
    <cellStyle name="40% - Accent5 2 2 2 6" xfId="2697" xr:uid="{78EE3F92-166C-4BA5-AB2C-80BB6EAA2D46}"/>
    <cellStyle name="40% - Accent5 2 2 2 7" xfId="3521" xr:uid="{41B5EC21-D0EC-4FC9-A6F4-5BA54CC792C7}"/>
    <cellStyle name="40% - Accent5 2 2 3" xfId="324" xr:uid="{00000000-0005-0000-0000-00007F020000}"/>
    <cellStyle name="40% - Accent5 2 2 3 2" xfId="741" xr:uid="{00000000-0005-0000-0000-000080020000}"/>
    <cellStyle name="40% - Accent5 2 2 3 2 2" xfId="1567" xr:uid="{E1FD7140-F55E-4894-91D9-221EE4EFFAB0}"/>
    <cellStyle name="40% - Accent5 2 2 3 2 3" xfId="2395" xr:uid="{454CE6DC-1C2D-4F47-B6D0-C6D0A6BF1647}"/>
    <cellStyle name="40% - Accent5 2 2 3 2 4" xfId="3219" xr:uid="{3014A471-F868-43D4-9ADC-F25F90CEC7DD}"/>
    <cellStyle name="40% - Accent5 2 2 3 2 5" xfId="4043" xr:uid="{4D6CEB93-2F93-48FF-964C-09A33F45A592}"/>
    <cellStyle name="40% - Accent5 2 2 3 3" xfId="1150" xr:uid="{A6117198-DCC3-480D-AA5A-85CAB49EB9D5}"/>
    <cellStyle name="40% - Accent5 2 2 3 4" xfId="1978" xr:uid="{E46C4573-42EC-46F4-8680-8E64775523B0}"/>
    <cellStyle name="40% - Accent5 2 2 3 5" xfId="2802" xr:uid="{07450579-1872-42F3-B6EF-E1AA299D5D5C}"/>
    <cellStyle name="40% - Accent5 2 2 3 6" xfId="3626" xr:uid="{4709FEB9-B17B-4F1D-95EC-AEF49E30EE0E}"/>
    <cellStyle name="40% - Accent5 2 2 4" xfId="533" xr:uid="{00000000-0005-0000-0000-000081020000}"/>
    <cellStyle name="40% - Accent5 2 2 4 2" xfId="1359" xr:uid="{90341C9F-3C80-4E5A-896E-ACAE6DC6047C}"/>
    <cellStyle name="40% - Accent5 2 2 4 3" xfId="2187" xr:uid="{C94E7E3C-DC96-4387-AB69-7A11E9E657C8}"/>
    <cellStyle name="40% - Accent5 2 2 4 4" xfId="3011" xr:uid="{EC993527-FBE2-4CBB-966C-303ADEC9B049}"/>
    <cellStyle name="40% - Accent5 2 2 4 5" xfId="3835" xr:uid="{711798D0-384A-457D-9E35-0BF5C9767530}"/>
    <cellStyle name="40% - Accent5 2 2 5" xfId="940" xr:uid="{F623DBF8-934B-4E30-B407-44A25C351FFE}"/>
    <cellStyle name="40% - Accent5 2 2 6" xfId="1768" xr:uid="{553A9BDF-548D-4FF9-A1FA-31C5A30B7D49}"/>
    <cellStyle name="40% - Accent5 2 2 7" xfId="2592" xr:uid="{223E8716-1A58-4B76-8825-B36A95DD0305}"/>
    <cellStyle name="40% - Accent5 2 2 8" xfId="3416" xr:uid="{9C355E81-ED56-462B-8B6A-FEEBC8917946}"/>
    <cellStyle name="40% - Accent5 2 3" xfId="167" xr:uid="{00000000-0005-0000-0000-000082020000}"/>
    <cellStyle name="40% - Accent5 2 3 2" xfId="376" xr:uid="{00000000-0005-0000-0000-000083020000}"/>
    <cellStyle name="40% - Accent5 2 3 2 2" xfId="793" xr:uid="{00000000-0005-0000-0000-000084020000}"/>
    <cellStyle name="40% - Accent5 2 3 2 2 2" xfId="1619" xr:uid="{E53365F1-6073-4F84-98B9-6C98E8E77160}"/>
    <cellStyle name="40% - Accent5 2 3 2 2 3" xfId="2447" xr:uid="{9F807714-EB40-4513-A3E7-7CEFFBA8F10B}"/>
    <cellStyle name="40% - Accent5 2 3 2 2 4" xfId="3271" xr:uid="{D08BE3C9-ECD0-4389-80C0-97FA0CC537E1}"/>
    <cellStyle name="40% - Accent5 2 3 2 2 5" xfId="4095" xr:uid="{26A79F14-443B-4AE1-B42B-F29BECB32FA9}"/>
    <cellStyle name="40% - Accent5 2 3 2 3" xfId="1202" xr:uid="{93516837-6EF3-4BCE-B8CB-265124CA438C}"/>
    <cellStyle name="40% - Accent5 2 3 2 4" xfId="2030" xr:uid="{EA65650D-49A9-42B9-8ED3-AB004F8643A2}"/>
    <cellStyle name="40% - Accent5 2 3 2 5" xfId="2854" xr:uid="{797C13EB-1FC1-41ED-BE14-09EA9669C8E5}"/>
    <cellStyle name="40% - Accent5 2 3 2 6" xfId="3678" xr:uid="{679D4EDF-19B4-4CFF-8118-3237E884259E}"/>
    <cellStyle name="40% - Accent5 2 3 3" xfId="585" xr:uid="{00000000-0005-0000-0000-000085020000}"/>
    <cellStyle name="40% - Accent5 2 3 3 2" xfId="1411" xr:uid="{A7C67862-BBAF-434F-A78C-8A4D8D40AAE5}"/>
    <cellStyle name="40% - Accent5 2 3 3 3" xfId="2239" xr:uid="{6DCA85EB-DD67-4E76-8A08-FF63CE6DCE0B}"/>
    <cellStyle name="40% - Accent5 2 3 3 4" xfId="3063" xr:uid="{4C584616-E7AA-4FF9-952C-D413E4574618}"/>
    <cellStyle name="40% - Accent5 2 3 3 5" xfId="3887" xr:uid="{FC9C23AE-64F0-4D10-9FF9-529B8CED7DA5}"/>
    <cellStyle name="40% - Accent5 2 3 4" xfId="993" xr:uid="{EC43F830-5C57-4EE2-97FD-BB3FCECA791F}"/>
    <cellStyle name="40% - Accent5 2 3 5" xfId="1821" xr:uid="{ACD6C788-AA0A-4434-9C6B-5B3999AA39F2}"/>
    <cellStyle name="40% - Accent5 2 3 6" xfId="2645" xr:uid="{685E3466-9E68-466E-ADBD-4E654DE0FE8B}"/>
    <cellStyle name="40% - Accent5 2 3 7" xfId="3469" xr:uid="{31995358-621C-4C83-89CE-7F54C46E97CE}"/>
    <cellStyle name="40% - Accent5 2 4" xfId="272" xr:uid="{00000000-0005-0000-0000-000086020000}"/>
    <cellStyle name="40% - Accent5 2 4 2" xfId="689" xr:uid="{00000000-0005-0000-0000-000087020000}"/>
    <cellStyle name="40% - Accent5 2 4 2 2" xfId="1515" xr:uid="{D844C825-273F-41C1-A878-F552AAC67F17}"/>
    <cellStyle name="40% - Accent5 2 4 2 3" xfId="2343" xr:uid="{27D5F621-8B78-4B6B-BA87-E03B7F7F3947}"/>
    <cellStyle name="40% - Accent5 2 4 2 4" xfId="3167" xr:uid="{136AF9CF-8A8A-46EF-8EDA-1BC601F1B808}"/>
    <cellStyle name="40% - Accent5 2 4 2 5" xfId="3991" xr:uid="{2701BE61-95EA-48A0-A0E0-5A81FD8C0BEF}"/>
    <cellStyle name="40% - Accent5 2 4 3" xfId="1098" xr:uid="{29190406-9263-4DEB-BD89-EC65E6A6230E}"/>
    <cellStyle name="40% - Accent5 2 4 4" xfId="1926" xr:uid="{100FF10F-9A12-4E87-88DB-BDCA1AD4C05B}"/>
    <cellStyle name="40% - Accent5 2 4 5" xfId="2750" xr:uid="{1541FD1D-D939-4D58-8E1B-7335F6A9D32B}"/>
    <cellStyle name="40% - Accent5 2 4 6" xfId="3574" xr:uid="{E55A226F-113D-4D37-BAA2-36047A9CA9ED}"/>
    <cellStyle name="40% - Accent5 2 5" xfId="481" xr:uid="{00000000-0005-0000-0000-000088020000}"/>
    <cellStyle name="40% - Accent5 2 5 2" xfId="1307" xr:uid="{6140822E-24CB-4FD8-9AFF-47E2FCF5A8F6}"/>
    <cellStyle name="40% - Accent5 2 5 3" xfId="2135" xr:uid="{762878F2-B70E-4F10-A89C-445A7814C0AA}"/>
    <cellStyle name="40% - Accent5 2 5 4" xfId="2959" xr:uid="{E601E762-3D73-41F7-887E-53E743D72FDE}"/>
    <cellStyle name="40% - Accent5 2 5 5" xfId="3783" xr:uid="{17506D92-C856-4184-BE35-F24FE304CAA5}"/>
    <cellStyle name="40% - Accent5 2 6" xfId="887" xr:uid="{274737E0-6B13-4699-ADE5-8E4B6B07D725}"/>
    <cellStyle name="40% - Accent5 2 7" xfId="1715" xr:uid="{F29F5C33-E838-4CFE-B93E-C19C642624AF}"/>
    <cellStyle name="40% - Accent5 2 8" xfId="2539" xr:uid="{D83A72BE-DF15-4984-BCF0-693C1B9CC1BE}"/>
    <cellStyle name="40% - Accent5 2 9" xfId="3363" xr:uid="{0AD85889-D540-4BAE-B7A2-FDB5E713AB55}"/>
    <cellStyle name="40% - Accent5 3" xfId="74" xr:uid="{00000000-0005-0000-0000-000089020000}"/>
    <cellStyle name="40% - Accent5 3 2" xfId="127" xr:uid="{00000000-0005-0000-0000-00008A020000}"/>
    <cellStyle name="40% - Accent5 3 2 2" xfId="232" xr:uid="{00000000-0005-0000-0000-00008B020000}"/>
    <cellStyle name="40% - Accent5 3 2 2 2" xfId="441" xr:uid="{00000000-0005-0000-0000-00008C020000}"/>
    <cellStyle name="40% - Accent5 3 2 2 2 2" xfId="858" xr:uid="{00000000-0005-0000-0000-00008D020000}"/>
    <cellStyle name="40% - Accent5 3 2 2 2 2 2" xfId="1684" xr:uid="{0F1DFA09-D709-4059-8BA2-994A10714210}"/>
    <cellStyle name="40% - Accent5 3 2 2 2 2 3" xfId="2512" xr:uid="{7E838AD1-AA44-4108-B632-2164E62E4373}"/>
    <cellStyle name="40% - Accent5 3 2 2 2 2 4" xfId="3336" xr:uid="{188A6E1F-E083-4E2F-A575-EA273E5CAB15}"/>
    <cellStyle name="40% - Accent5 3 2 2 2 2 5" xfId="4160" xr:uid="{D9FC04D7-2A9A-4041-B5D2-B16386616C74}"/>
    <cellStyle name="40% - Accent5 3 2 2 2 3" xfId="1267" xr:uid="{9FB7BBBE-2EAC-413B-A61C-137D4EF7F93C}"/>
    <cellStyle name="40% - Accent5 3 2 2 2 4" xfId="2095" xr:uid="{B921C6F8-4C80-42F0-81DF-BBF1CBEC2D22}"/>
    <cellStyle name="40% - Accent5 3 2 2 2 5" xfId="2919" xr:uid="{2E886504-0196-42B7-9B83-0C0D0BDEDC1C}"/>
    <cellStyle name="40% - Accent5 3 2 2 2 6" xfId="3743" xr:uid="{A4117B97-1290-477A-8B5B-3F928E3FD9FF}"/>
    <cellStyle name="40% - Accent5 3 2 2 3" xfId="650" xr:uid="{00000000-0005-0000-0000-00008E020000}"/>
    <cellStyle name="40% - Accent5 3 2 2 3 2" xfId="1476" xr:uid="{EF6F2011-3B5D-4705-86E6-5085656DAFB9}"/>
    <cellStyle name="40% - Accent5 3 2 2 3 3" xfId="2304" xr:uid="{16B8494A-0296-4DE5-8353-826814DA639B}"/>
    <cellStyle name="40% - Accent5 3 2 2 3 4" xfId="3128" xr:uid="{1B2F08FA-FFB2-4DE7-B15E-F5F1DCC2BB9A}"/>
    <cellStyle name="40% - Accent5 3 2 2 3 5" xfId="3952" xr:uid="{0B01F5BA-0030-4798-8580-56FD32E3547D}"/>
    <cellStyle name="40% - Accent5 3 2 2 4" xfId="1058" xr:uid="{8D90E53B-7318-4612-8DD0-5BF709799624}"/>
    <cellStyle name="40% - Accent5 3 2 2 5" xfId="1886" xr:uid="{E22912B8-AE48-4791-A648-8AB1EFCD0BDB}"/>
    <cellStyle name="40% - Accent5 3 2 2 6" xfId="2710" xr:uid="{CE4DE5F3-221E-40AA-8D2D-DD5D9FABC5F4}"/>
    <cellStyle name="40% - Accent5 3 2 2 7" xfId="3534" xr:uid="{05664E17-914A-4551-8FB9-59A270190255}"/>
    <cellStyle name="40% - Accent5 3 2 3" xfId="337" xr:uid="{00000000-0005-0000-0000-00008F020000}"/>
    <cellStyle name="40% - Accent5 3 2 3 2" xfId="754" xr:uid="{00000000-0005-0000-0000-000090020000}"/>
    <cellStyle name="40% - Accent5 3 2 3 2 2" xfId="1580" xr:uid="{B961A944-D749-4457-A5EA-10F061F65356}"/>
    <cellStyle name="40% - Accent5 3 2 3 2 3" xfId="2408" xr:uid="{C7BA943C-C7C1-4657-A745-4A987C5F28ED}"/>
    <cellStyle name="40% - Accent5 3 2 3 2 4" xfId="3232" xr:uid="{71453ECB-8162-4719-AC79-92F2196EE13A}"/>
    <cellStyle name="40% - Accent5 3 2 3 2 5" xfId="4056" xr:uid="{662BA1E7-A67C-4D3E-B8D6-BF4756486C3A}"/>
    <cellStyle name="40% - Accent5 3 2 3 3" xfId="1163" xr:uid="{41E65FF1-6791-44BC-BCE2-3081A52CB4D9}"/>
    <cellStyle name="40% - Accent5 3 2 3 4" xfId="1991" xr:uid="{1140D901-4372-4C22-911A-F84576E93901}"/>
    <cellStyle name="40% - Accent5 3 2 3 5" xfId="2815" xr:uid="{F81221C5-4CEF-4304-B2EF-9EFF5911F27D}"/>
    <cellStyle name="40% - Accent5 3 2 3 6" xfId="3639" xr:uid="{75A5B7E5-5303-427A-992B-AAA7F46D3FE6}"/>
    <cellStyle name="40% - Accent5 3 2 4" xfId="546" xr:uid="{00000000-0005-0000-0000-000091020000}"/>
    <cellStyle name="40% - Accent5 3 2 4 2" xfId="1372" xr:uid="{C0565FA9-25DB-4B71-A72F-8844CE24079C}"/>
    <cellStyle name="40% - Accent5 3 2 4 3" xfId="2200" xr:uid="{2432E48F-45BD-472B-A66E-FA1A2DC88D7D}"/>
    <cellStyle name="40% - Accent5 3 2 4 4" xfId="3024" xr:uid="{EFEB0EEB-B0CB-4CCF-97A0-40F8EFCCDCC5}"/>
    <cellStyle name="40% - Accent5 3 2 4 5" xfId="3848" xr:uid="{9DA9AAE0-34D7-475B-B866-B02EACB254B9}"/>
    <cellStyle name="40% - Accent5 3 2 5" xfId="953" xr:uid="{6C8775C7-8F32-4EEC-9ED0-AC9F62F54D14}"/>
    <cellStyle name="40% - Accent5 3 2 6" xfId="1781" xr:uid="{A0CF764D-0989-4B55-A376-477AD24F32B6}"/>
    <cellStyle name="40% - Accent5 3 2 7" xfId="2605" xr:uid="{7C3FCECB-98D7-4B36-832F-9AC8626AA465}"/>
    <cellStyle name="40% - Accent5 3 2 8" xfId="3429" xr:uid="{10D9A9BB-844F-4BCE-923B-C5C7A852239E}"/>
    <cellStyle name="40% - Accent5 3 3" xfId="180" xr:uid="{00000000-0005-0000-0000-000092020000}"/>
    <cellStyle name="40% - Accent5 3 3 2" xfId="389" xr:uid="{00000000-0005-0000-0000-000093020000}"/>
    <cellStyle name="40% - Accent5 3 3 2 2" xfId="806" xr:uid="{00000000-0005-0000-0000-000094020000}"/>
    <cellStyle name="40% - Accent5 3 3 2 2 2" xfId="1632" xr:uid="{9F67A910-176F-438B-851A-6FB035076600}"/>
    <cellStyle name="40% - Accent5 3 3 2 2 3" xfId="2460" xr:uid="{FCF3481D-EEC2-473E-8FD0-79796F275792}"/>
    <cellStyle name="40% - Accent5 3 3 2 2 4" xfId="3284" xr:uid="{5476FECE-C80B-4D77-BF5E-44B51A950B3F}"/>
    <cellStyle name="40% - Accent5 3 3 2 2 5" xfId="4108" xr:uid="{EC8F6010-BE95-4BD4-83C4-DD530D2DC747}"/>
    <cellStyle name="40% - Accent5 3 3 2 3" xfId="1215" xr:uid="{41AA5C0C-B1CE-453F-A622-B46DCF848EE0}"/>
    <cellStyle name="40% - Accent5 3 3 2 4" xfId="2043" xr:uid="{DF2E9900-01B0-4B16-95A9-AE2EAA11595D}"/>
    <cellStyle name="40% - Accent5 3 3 2 5" xfId="2867" xr:uid="{046B8190-2EAA-46E5-B91C-524F0A12DE96}"/>
    <cellStyle name="40% - Accent5 3 3 2 6" xfId="3691" xr:uid="{B43CD104-5F44-47E2-93A8-ED2026FC4156}"/>
    <cellStyle name="40% - Accent5 3 3 3" xfId="598" xr:uid="{00000000-0005-0000-0000-000095020000}"/>
    <cellStyle name="40% - Accent5 3 3 3 2" xfId="1424" xr:uid="{89B1DD30-ABE8-422D-BBC9-547F0576623E}"/>
    <cellStyle name="40% - Accent5 3 3 3 3" xfId="2252" xr:uid="{C53DF775-4124-4D93-9D1C-46AFBB9F26C7}"/>
    <cellStyle name="40% - Accent5 3 3 3 4" xfId="3076" xr:uid="{078F50C5-73C0-43A7-9740-CAA3B2BB0169}"/>
    <cellStyle name="40% - Accent5 3 3 3 5" xfId="3900" xr:uid="{E016BD0D-3797-4AB4-BD6E-7786CD12F70C}"/>
    <cellStyle name="40% - Accent5 3 3 4" xfId="1006" xr:uid="{154E586C-26D2-4A7E-9968-88DD20FB48AB}"/>
    <cellStyle name="40% - Accent5 3 3 5" xfId="1834" xr:uid="{A3351E41-48D1-4D7D-B80D-69D2CAA2A91E}"/>
    <cellStyle name="40% - Accent5 3 3 6" xfId="2658" xr:uid="{AC440E5D-D0F1-4232-AEE6-EABFE72C9DDA}"/>
    <cellStyle name="40% - Accent5 3 3 7" xfId="3482" xr:uid="{5EC6DD1C-DD11-4511-AB9B-F1DE29AEDC10}"/>
    <cellStyle name="40% - Accent5 3 4" xfId="285" xr:uid="{00000000-0005-0000-0000-000096020000}"/>
    <cellStyle name="40% - Accent5 3 4 2" xfId="702" xr:uid="{00000000-0005-0000-0000-000097020000}"/>
    <cellStyle name="40% - Accent5 3 4 2 2" xfId="1528" xr:uid="{6113D87B-2AB5-46AE-B69C-B145E37E14D2}"/>
    <cellStyle name="40% - Accent5 3 4 2 3" xfId="2356" xr:uid="{374AF3C6-D225-453A-9F0A-43837D588065}"/>
    <cellStyle name="40% - Accent5 3 4 2 4" xfId="3180" xr:uid="{1D5E2A58-3D70-408C-9735-90693DB60A84}"/>
    <cellStyle name="40% - Accent5 3 4 2 5" xfId="4004" xr:uid="{D69463EE-141A-422A-8402-C9E3CAA725B2}"/>
    <cellStyle name="40% - Accent5 3 4 3" xfId="1111" xr:uid="{3E828A15-7D57-42A3-92BB-4241FA58DFA5}"/>
    <cellStyle name="40% - Accent5 3 4 4" xfId="1939" xr:uid="{EDB2C4BA-5199-4F37-A93F-B024094AEE36}"/>
    <cellStyle name="40% - Accent5 3 4 5" xfId="2763" xr:uid="{00ABCE61-29FB-4F43-8711-37AEFE3B999B}"/>
    <cellStyle name="40% - Accent5 3 4 6" xfId="3587" xr:uid="{8F40FADE-E215-420E-8F1A-19C37197B60E}"/>
    <cellStyle name="40% - Accent5 3 5" xfId="494" xr:uid="{00000000-0005-0000-0000-000098020000}"/>
    <cellStyle name="40% - Accent5 3 5 2" xfId="1320" xr:uid="{825F335A-033A-43DD-9C19-EE8D380C8B42}"/>
    <cellStyle name="40% - Accent5 3 5 3" xfId="2148" xr:uid="{9438E2BB-357B-4A1A-9698-8298F0E71437}"/>
    <cellStyle name="40% - Accent5 3 5 4" xfId="2972" xr:uid="{2450D8B2-2FE6-48D7-83D9-8ADBC8E5C18F}"/>
    <cellStyle name="40% - Accent5 3 5 5" xfId="3796" xr:uid="{90893092-3387-4F6A-A4C6-7D9BA1ECD2A8}"/>
    <cellStyle name="40% - Accent5 3 6" xfId="900" xr:uid="{98C3523A-2B82-4E40-90DF-2A4DDD7691DD}"/>
    <cellStyle name="40% - Accent5 3 7" xfId="1728" xr:uid="{79D2C9EB-FB12-4595-AB7C-A88DFCC6059B}"/>
    <cellStyle name="40% - Accent5 3 8" xfId="2552" xr:uid="{35759646-3878-4422-9705-F5CE2C184C37}"/>
    <cellStyle name="40% - Accent5 3 9" xfId="3376" xr:uid="{66288CEC-C80D-4F9E-8698-BBA260EA2DBE}"/>
    <cellStyle name="40% - Accent5 4" xfId="87" xr:uid="{00000000-0005-0000-0000-000099020000}"/>
    <cellStyle name="40% - Accent5 4 2" xfId="193" xr:uid="{00000000-0005-0000-0000-00009A020000}"/>
    <cellStyle name="40% - Accent5 4 2 2" xfId="402" xr:uid="{00000000-0005-0000-0000-00009B020000}"/>
    <cellStyle name="40% - Accent5 4 2 2 2" xfId="819" xr:uid="{00000000-0005-0000-0000-00009C020000}"/>
    <cellStyle name="40% - Accent5 4 2 2 2 2" xfId="1645" xr:uid="{391E2594-326C-45DB-85BE-026F30458D73}"/>
    <cellStyle name="40% - Accent5 4 2 2 2 3" xfId="2473" xr:uid="{CFE15411-EFCD-4B3F-8A6F-EA92C8A59297}"/>
    <cellStyle name="40% - Accent5 4 2 2 2 4" xfId="3297" xr:uid="{0CBCFC47-1064-4492-B2A2-8C359975EE31}"/>
    <cellStyle name="40% - Accent5 4 2 2 2 5" xfId="4121" xr:uid="{F3165892-5856-41AC-BAB3-767A958B51C0}"/>
    <cellStyle name="40% - Accent5 4 2 2 3" xfId="1228" xr:uid="{56D119DD-D433-402B-AFD0-D370AD1EBCAC}"/>
    <cellStyle name="40% - Accent5 4 2 2 4" xfId="2056" xr:uid="{F8464F7F-4405-4345-A9B4-B2E83A8894D7}"/>
    <cellStyle name="40% - Accent5 4 2 2 5" xfId="2880" xr:uid="{C680BF89-0436-43AD-B693-7D24C33ABA34}"/>
    <cellStyle name="40% - Accent5 4 2 2 6" xfId="3704" xr:uid="{46CCC42F-0404-46D4-8E63-703CCB89686C}"/>
    <cellStyle name="40% - Accent5 4 2 3" xfId="611" xr:uid="{00000000-0005-0000-0000-00009D020000}"/>
    <cellStyle name="40% - Accent5 4 2 3 2" xfId="1437" xr:uid="{663E02DB-7C36-4BD2-8873-C64088C3F990}"/>
    <cellStyle name="40% - Accent5 4 2 3 3" xfId="2265" xr:uid="{14588223-CFD8-46DF-A9FE-F290017491B4}"/>
    <cellStyle name="40% - Accent5 4 2 3 4" xfId="3089" xr:uid="{DA43508F-7AFD-44EA-9F13-6AAF493E44B5}"/>
    <cellStyle name="40% - Accent5 4 2 3 5" xfId="3913" xr:uid="{84B7E9A6-509D-40AD-AFB0-E5240504CB7A}"/>
    <cellStyle name="40% - Accent5 4 2 4" xfId="1019" xr:uid="{F4F32696-B21E-4555-8AC0-E2506EC16ED0}"/>
    <cellStyle name="40% - Accent5 4 2 5" xfId="1847" xr:uid="{E284F057-6C71-4597-B2F2-598AFE72E852}"/>
    <cellStyle name="40% - Accent5 4 2 6" xfId="2671" xr:uid="{9D9C1EE9-235B-46D2-9D09-117A71DC55EB}"/>
    <cellStyle name="40% - Accent5 4 2 7" xfId="3495" xr:uid="{73CD7992-DE08-4647-994F-99D9D83BE000}"/>
    <cellStyle name="40% - Accent5 4 3" xfId="298" xr:uid="{00000000-0005-0000-0000-00009E020000}"/>
    <cellStyle name="40% - Accent5 4 3 2" xfId="715" xr:uid="{00000000-0005-0000-0000-00009F020000}"/>
    <cellStyle name="40% - Accent5 4 3 2 2" xfId="1541" xr:uid="{576C0325-B2C3-439A-A48C-3A39C0061939}"/>
    <cellStyle name="40% - Accent5 4 3 2 3" xfId="2369" xr:uid="{79C27BF3-3C00-4BB0-BD13-42B11D43DBB8}"/>
    <cellStyle name="40% - Accent5 4 3 2 4" xfId="3193" xr:uid="{D555D325-E054-48FD-9808-5D0D39BDAC9C}"/>
    <cellStyle name="40% - Accent5 4 3 2 5" xfId="4017" xr:uid="{6AC22C0A-CDB3-42DB-8027-CD75811AF72E}"/>
    <cellStyle name="40% - Accent5 4 3 3" xfId="1124" xr:uid="{202BB8D9-29FA-435E-95AE-5DBB6A593AEB}"/>
    <cellStyle name="40% - Accent5 4 3 4" xfId="1952" xr:uid="{71FA3A6E-6C3A-4D16-B9A7-79D4075D57B7}"/>
    <cellStyle name="40% - Accent5 4 3 5" xfId="2776" xr:uid="{3579943F-7488-47DF-9572-AE5BAEF03D92}"/>
    <cellStyle name="40% - Accent5 4 3 6" xfId="3600" xr:uid="{D4AA762B-7C72-4F4A-948B-643D3AC469CE}"/>
    <cellStyle name="40% - Accent5 4 4" xfId="507" xr:uid="{00000000-0005-0000-0000-0000A0020000}"/>
    <cellStyle name="40% - Accent5 4 4 2" xfId="1333" xr:uid="{A2551DDC-72BC-4B1E-8163-8E7DD98DFB83}"/>
    <cellStyle name="40% - Accent5 4 4 3" xfId="2161" xr:uid="{1FF0C6F4-EF04-43BF-9936-DAC155751186}"/>
    <cellStyle name="40% - Accent5 4 4 4" xfId="2985" xr:uid="{F70E3B22-10E2-495A-B585-D9123331F5E4}"/>
    <cellStyle name="40% - Accent5 4 4 5" xfId="3809" xr:uid="{EB717E48-2341-473F-ACB0-2A31BA757756}"/>
    <cellStyle name="40% - Accent5 4 5" xfId="913" xr:uid="{5D5E0978-B603-432F-83BB-1244644963E1}"/>
    <cellStyle name="40% - Accent5 4 6" xfId="1741" xr:uid="{02C348C3-4D59-45D8-8649-B407D15ED41E}"/>
    <cellStyle name="40% - Accent5 4 7" xfId="2565" xr:uid="{85528CE6-470C-4E0C-BCCC-B65FF9BD0BAC}"/>
    <cellStyle name="40% - Accent5 4 8" xfId="3389" xr:uid="{2329DEB3-1A3F-40CD-A2D1-99F0644FF157}"/>
    <cellStyle name="40% - Accent5 5" xfId="100" xr:uid="{00000000-0005-0000-0000-0000A1020000}"/>
    <cellStyle name="40% - Accent5 5 2" xfId="205" xr:uid="{00000000-0005-0000-0000-0000A2020000}"/>
    <cellStyle name="40% - Accent5 5 2 2" xfId="414" xr:uid="{00000000-0005-0000-0000-0000A3020000}"/>
    <cellStyle name="40% - Accent5 5 2 2 2" xfId="831" xr:uid="{00000000-0005-0000-0000-0000A4020000}"/>
    <cellStyle name="40% - Accent5 5 2 2 2 2" xfId="1657" xr:uid="{27CA1813-6535-43CE-9CCD-E9682DC73170}"/>
    <cellStyle name="40% - Accent5 5 2 2 2 3" xfId="2485" xr:uid="{A8B34B93-281B-4EED-ADAD-C16624E4DA8D}"/>
    <cellStyle name="40% - Accent5 5 2 2 2 4" xfId="3309" xr:uid="{F51B787E-4840-48F9-B1E4-60BA64A75503}"/>
    <cellStyle name="40% - Accent5 5 2 2 2 5" xfId="4133" xr:uid="{4D65CD38-CC2C-472D-B182-707F04ADF8E5}"/>
    <cellStyle name="40% - Accent5 5 2 2 3" xfId="1240" xr:uid="{1A7E0B20-ED94-4A29-81C1-F82AFDC91B21}"/>
    <cellStyle name="40% - Accent5 5 2 2 4" xfId="2068" xr:uid="{2067B1F9-6216-4B8F-B53F-C3F310D21A40}"/>
    <cellStyle name="40% - Accent5 5 2 2 5" xfId="2892" xr:uid="{2CB155F3-E8AF-4A2B-8B71-60785A7A497C}"/>
    <cellStyle name="40% - Accent5 5 2 2 6" xfId="3716" xr:uid="{E3F21B82-FFB4-4C82-8868-CD0000B70037}"/>
    <cellStyle name="40% - Accent5 5 2 3" xfId="623" xr:uid="{00000000-0005-0000-0000-0000A5020000}"/>
    <cellStyle name="40% - Accent5 5 2 3 2" xfId="1449" xr:uid="{0CE767FB-5F5F-41AC-A60B-DAA3BE290DAD}"/>
    <cellStyle name="40% - Accent5 5 2 3 3" xfId="2277" xr:uid="{3B32BA78-0C4F-4498-8AD6-E13ADA938EAF}"/>
    <cellStyle name="40% - Accent5 5 2 3 4" xfId="3101" xr:uid="{69769B5C-BCBE-4CF7-990B-6BC863F6F252}"/>
    <cellStyle name="40% - Accent5 5 2 3 5" xfId="3925" xr:uid="{7F235BA0-671F-4768-A415-43B5C7B48EC5}"/>
    <cellStyle name="40% - Accent5 5 2 4" xfId="1031" xr:uid="{AADE3C86-270E-4931-A8EE-BCF26211D8C4}"/>
    <cellStyle name="40% - Accent5 5 2 5" xfId="1859" xr:uid="{93464E70-F05A-49C4-9997-0EB193D59CCE}"/>
    <cellStyle name="40% - Accent5 5 2 6" xfId="2683" xr:uid="{7630F62A-923A-4180-A82F-B2E508C264B0}"/>
    <cellStyle name="40% - Accent5 5 2 7" xfId="3507" xr:uid="{EC59AB2E-64A3-4499-A352-1FE65CAE6270}"/>
    <cellStyle name="40% - Accent5 5 3" xfId="310" xr:uid="{00000000-0005-0000-0000-0000A6020000}"/>
    <cellStyle name="40% - Accent5 5 3 2" xfId="727" xr:uid="{00000000-0005-0000-0000-0000A7020000}"/>
    <cellStyle name="40% - Accent5 5 3 2 2" xfId="1553" xr:uid="{B072CBD2-615C-4271-9645-2C2BC44D64CF}"/>
    <cellStyle name="40% - Accent5 5 3 2 3" xfId="2381" xr:uid="{74C49E16-68F7-4BF4-BF79-9F0417B47A16}"/>
    <cellStyle name="40% - Accent5 5 3 2 4" xfId="3205" xr:uid="{AE4BDAED-72AA-4E2E-9D87-0BD5CAD5BB29}"/>
    <cellStyle name="40% - Accent5 5 3 2 5" xfId="4029" xr:uid="{F0AA70F7-367C-423F-9671-4CF53FA919EE}"/>
    <cellStyle name="40% - Accent5 5 3 3" xfId="1136" xr:uid="{F9048BCF-02AE-438A-A4B0-20196C5BA24B}"/>
    <cellStyle name="40% - Accent5 5 3 4" xfId="1964" xr:uid="{DC9781E6-B7A9-4E98-A54B-461A0EC2993A}"/>
    <cellStyle name="40% - Accent5 5 3 5" xfId="2788" xr:uid="{A8B8E98F-DBE4-47BA-81B2-B88E7D05F305}"/>
    <cellStyle name="40% - Accent5 5 3 6" xfId="3612" xr:uid="{629CBE30-F89D-4245-B161-B128B8461EDB}"/>
    <cellStyle name="40% - Accent5 5 4" xfId="519" xr:uid="{00000000-0005-0000-0000-0000A8020000}"/>
    <cellStyle name="40% - Accent5 5 4 2" xfId="1345" xr:uid="{30E48482-355A-4CD5-88D7-3B5F7CF165D9}"/>
    <cellStyle name="40% - Accent5 5 4 3" xfId="2173" xr:uid="{398006AC-6A83-4E52-9EBF-A2899015A494}"/>
    <cellStyle name="40% - Accent5 5 4 4" xfId="2997" xr:uid="{189CA55F-E2A2-47F4-85BD-3B3F18E5A81D}"/>
    <cellStyle name="40% - Accent5 5 4 5" xfId="3821" xr:uid="{664C866F-5698-4839-B56D-BADCFBEE9FFB}"/>
    <cellStyle name="40% - Accent5 5 5" xfId="926" xr:uid="{EC3ACFDE-DE61-45BE-B0F0-022F7184524C}"/>
    <cellStyle name="40% - Accent5 5 6" xfId="1754" xr:uid="{2B168355-547A-41A4-BEE4-DC400CB0858F}"/>
    <cellStyle name="40% - Accent5 5 7" xfId="2578" xr:uid="{6AAB7C70-9D2D-4B97-ADF3-F904929BD26C}"/>
    <cellStyle name="40% - Accent5 5 8" xfId="3402" xr:uid="{D49AFCCC-95CD-4940-8BC7-FE7FD7E46D91}"/>
    <cellStyle name="40% - Accent5 6" xfId="140" xr:uid="{00000000-0005-0000-0000-0000A9020000}"/>
    <cellStyle name="40% - Accent5 6 2" xfId="350" xr:uid="{00000000-0005-0000-0000-0000AA020000}"/>
    <cellStyle name="40% - Accent5 6 2 2" xfId="767" xr:uid="{00000000-0005-0000-0000-0000AB020000}"/>
    <cellStyle name="40% - Accent5 6 2 2 2" xfId="1593" xr:uid="{8EE094FC-F2FC-4B96-84EC-F006E702D4F3}"/>
    <cellStyle name="40% - Accent5 6 2 2 3" xfId="2421" xr:uid="{88155D90-6271-4393-88C9-FC47682A7985}"/>
    <cellStyle name="40% - Accent5 6 2 2 4" xfId="3245" xr:uid="{6AD39EB5-4FDD-4E83-862D-7855672A7F3E}"/>
    <cellStyle name="40% - Accent5 6 2 2 5" xfId="4069" xr:uid="{6FFCD759-1D14-4CD3-941E-B82EE2BC1E7F}"/>
    <cellStyle name="40% - Accent5 6 2 3" xfId="1176" xr:uid="{B4E9889D-3EA3-46C3-8234-5AA73EA2FB49}"/>
    <cellStyle name="40% - Accent5 6 2 4" xfId="2004" xr:uid="{F57FFF2B-B34D-41FA-8BDF-5E787C9B8A32}"/>
    <cellStyle name="40% - Accent5 6 2 5" xfId="2828" xr:uid="{583A7262-A14D-42CF-AF93-40D344E8AC89}"/>
    <cellStyle name="40% - Accent5 6 2 6" xfId="3652" xr:uid="{4605B7E4-EC9E-4F73-B00F-9343FA4D5257}"/>
    <cellStyle name="40% - Accent5 6 3" xfId="559" xr:uid="{00000000-0005-0000-0000-0000AC020000}"/>
    <cellStyle name="40% - Accent5 6 3 2" xfId="1385" xr:uid="{683BB3F6-82A2-4475-8616-5508E7719716}"/>
    <cellStyle name="40% - Accent5 6 3 3" xfId="2213" xr:uid="{ACC5F0E4-0FD1-4F57-83CD-DA9C80D1B476}"/>
    <cellStyle name="40% - Accent5 6 3 4" xfId="3037" xr:uid="{DE302A62-85F2-452E-B5CF-98ACE864821E}"/>
    <cellStyle name="40% - Accent5 6 3 5" xfId="3861" xr:uid="{E41A5FA6-3130-4B65-94C0-140D21D0FF40}"/>
    <cellStyle name="40% - Accent5 6 4" xfId="966" xr:uid="{CFE6C40C-3A89-49EE-B408-BCBC9B515E61}"/>
    <cellStyle name="40% - Accent5 6 5" xfId="1794" xr:uid="{78E1CBB3-5738-4A63-8C5D-27752D523DB2}"/>
    <cellStyle name="40% - Accent5 6 6" xfId="2618" xr:uid="{B7FAAD3B-B3C1-4CAA-9ADF-8E079F5DAEBB}"/>
    <cellStyle name="40% - Accent5 6 7" xfId="3442" xr:uid="{B2F0DA57-09D8-4B7D-A227-5C9252AA0F89}"/>
    <cellStyle name="40% - Accent5 7" xfId="153" xr:uid="{00000000-0005-0000-0000-0000AD020000}"/>
    <cellStyle name="40% - Accent5 7 2" xfId="362" xr:uid="{00000000-0005-0000-0000-0000AE020000}"/>
    <cellStyle name="40% - Accent5 7 2 2" xfId="779" xr:uid="{00000000-0005-0000-0000-0000AF020000}"/>
    <cellStyle name="40% - Accent5 7 2 2 2" xfId="1605" xr:uid="{A4C359B5-C977-4A56-9192-0D5B239A088D}"/>
    <cellStyle name="40% - Accent5 7 2 2 3" xfId="2433" xr:uid="{6E602EE3-8248-4BA2-9440-E13668403839}"/>
    <cellStyle name="40% - Accent5 7 2 2 4" xfId="3257" xr:uid="{506BAD83-A909-42F1-8999-6DB4A2CEDB64}"/>
    <cellStyle name="40% - Accent5 7 2 2 5" xfId="4081" xr:uid="{556DA68B-0701-4D1F-8BBD-85DCCA1D94A2}"/>
    <cellStyle name="40% - Accent5 7 2 3" xfId="1188" xr:uid="{9D7E1F5A-2030-4FF6-9AA9-A09B43C4F8C8}"/>
    <cellStyle name="40% - Accent5 7 2 4" xfId="2016" xr:uid="{6C6976E2-5358-4D11-BD66-A922DAB1C597}"/>
    <cellStyle name="40% - Accent5 7 2 5" xfId="2840" xr:uid="{C9622619-BCC7-442D-BC5E-AC284F73B97B}"/>
    <cellStyle name="40% - Accent5 7 2 6" xfId="3664" xr:uid="{02046646-3160-4CD0-A6D2-6ADDC8985385}"/>
    <cellStyle name="40% - Accent5 7 3" xfId="571" xr:uid="{00000000-0005-0000-0000-0000B0020000}"/>
    <cellStyle name="40% - Accent5 7 3 2" xfId="1397" xr:uid="{DE745ADA-EF9B-452D-8CDC-6B230B175BDD}"/>
    <cellStyle name="40% - Accent5 7 3 3" xfId="2225" xr:uid="{BA415FEB-00A5-43BB-9638-8AD9D24EC05C}"/>
    <cellStyle name="40% - Accent5 7 3 4" xfId="3049" xr:uid="{5B38A87A-2C89-44CD-8804-FAF24379FB8F}"/>
    <cellStyle name="40% - Accent5 7 3 5" xfId="3873" xr:uid="{618916CA-7B32-4617-8FA4-F446AD4436D2}"/>
    <cellStyle name="40% - Accent5 7 4" xfId="979" xr:uid="{DB84B2A1-3A8E-4DB9-87C9-AA3B61F0F036}"/>
    <cellStyle name="40% - Accent5 7 5" xfId="1807" xr:uid="{3FA9E8FA-A19B-4455-B1EF-E2CCB09914B8}"/>
    <cellStyle name="40% - Accent5 7 6" xfId="2631" xr:uid="{4E200A00-02BB-4C8C-BE69-0F576D5A0760}"/>
    <cellStyle name="40% - Accent5 7 7" xfId="3455" xr:uid="{EC046BEA-3A41-4707-83F4-95A0E8259D23}"/>
    <cellStyle name="40% - Accent5 8" xfId="245" xr:uid="{00000000-0005-0000-0000-0000B1020000}"/>
    <cellStyle name="40% - Accent5 8 2" xfId="663" xr:uid="{00000000-0005-0000-0000-0000B2020000}"/>
    <cellStyle name="40% - Accent5 8 2 2" xfId="1489" xr:uid="{D605CC34-1CBD-4A39-A2E7-39615EC94DC8}"/>
    <cellStyle name="40% - Accent5 8 2 3" xfId="2317" xr:uid="{4BE88E44-7C63-4F13-BE74-B2F81E0F7582}"/>
    <cellStyle name="40% - Accent5 8 2 4" xfId="3141" xr:uid="{51BC00AB-0FC2-4ABA-AC58-B7919E86800A}"/>
    <cellStyle name="40% - Accent5 8 2 5" xfId="3965" xr:uid="{208E2C37-D2D6-4212-AEB6-9EF76EEEE9C2}"/>
    <cellStyle name="40% - Accent5 8 3" xfId="1071" xr:uid="{5911DBBB-8874-4B45-A2F6-1D3570E3A149}"/>
    <cellStyle name="40% - Accent5 8 4" xfId="1899" xr:uid="{FA08F65C-EB9B-491E-85BC-A4E7405DC823}"/>
    <cellStyle name="40% - Accent5 8 5" xfId="2723" xr:uid="{9467CA71-600A-4B72-9AE0-5CB9423DA1E1}"/>
    <cellStyle name="40% - Accent5 8 6" xfId="3547" xr:uid="{4B7C8B75-3D2A-4C3F-BBDD-12CA7EEF2CD9}"/>
    <cellStyle name="40% - Accent5 9" xfId="258" xr:uid="{00000000-0005-0000-0000-0000B3020000}"/>
    <cellStyle name="40% - Accent5 9 2" xfId="675" xr:uid="{00000000-0005-0000-0000-0000B4020000}"/>
    <cellStyle name="40% - Accent5 9 2 2" xfId="1501" xr:uid="{78403F85-00D1-4C5C-BF44-5CEE8BDD6CEE}"/>
    <cellStyle name="40% - Accent5 9 2 3" xfId="2329" xr:uid="{5FA2C2E0-A2BC-4F98-9C2A-8E50F2B9F63F}"/>
    <cellStyle name="40% - Accent5 9 2 4" xfId="3153" xr:uid="{92CBA30A-EC77-4F52-AF4C-8E3399C046BB}"/>
    <cellStyle name="40% - Accent5 9 2 5" xfId="3977" xr:uid="{FE6B3AAC-2B35-4205-A61A-8C41E533A118}"/>
    <cellStyle name="40% - Accent5 9 3" xfId="1084" xr:uid="{ADEB2555-6B23-41DF-8F85-5B5934A6D47E}"/>
    <cellStyle name="40% - Accent5 9 4" xfId="1912" xr:uid="{87EBD9DF-7455-462C-B90A-9F7DB81CAC55}"/>
    <cellStyle name="40% - Accent5 9 5" xfId="2736" xr:uid="{AE60BECC-B3D9-481B-8184-A52828D0DD37}"/>
    <cellStyle name="40% - Accent5 9 6" xfId="3560" xr:uid="{945901EA-BB3D-47C7-8604-B8523AB6DE01}"/>
    <cellStyle name="40% - Accent6" xfId="39" builtinId="51" customBuiltin="1"/>
    <cellStyle name="40% - Accent6 10" xfId="456" xr:uid="{00000000-0005-0000-0000-0000B6020000}"/>
    <cellStyle name="40% - Accent6 10 2" xfId="1282" xr:uid="{AF3BEE06-DEC9-40CD-8CFF-73F1E1751861}"/>
    <cellStyle name="40% - Accent6 10 3" xfId="2110" xr:uid="{63848DC3-C6C9-4709-A5AD-DF260E6CC9E6}"/>
    <cellStyle name="40% - Accent6 10 4" xfId="2934" xr:uid="{92526CC7-2430-4B17-81A6-DE0025FC4C52}"/>
    <cellStyle name="40% - Accent6 10 5" xfId="3758" xr:uid="{E770A838-6E6E-4C05-BC43-582339E4FA6D}"/>
    <cellStyle name="40% - Accent6 11" xfId="469" xr:uid="{00000000-0005-0000-0000-0000B7020000}"/>
    <cellStyle name="40% - Accent6 11 2" xfId="1295" xr:uid="{2E58FD17-3EB6-4C7A-83CF-A19B4C1E8654}"/>
    <cellStyle name="40% - Accent6 11 3" xfId="2123" xr:uid="{979619C0-3FEA-4F59-BC46-5622BB92175A}"/>
    <cellStyle name="40% - Accent6 11 4" xfId="2947" xr:uid="{FF3DD330-FC94-4420-A7AC-D243D36A2D27}"/>
    <cellStyle name="40% - Accent6 11 5" xfId="3771" xr:uid="{DEAC0202-521D-4FA8-866F-88BE3F972214}"/>
    <cellStyle name="40% - Accent6 12" xfId="874" xr:uid="{84FE2086-9A58-400F-83AD-60DD0513BB4F}"/>
    <cellStyle name="40% - Accent6 13" xfId="1703" xr:uid="{C87CBBF1-653F-4F29-9146-99274A614BCF}"/>
    <cellStyle name="40% - Accent6 14" xfId="2527" xr:uid="{7970B7CE-20CB-4FC0-94D7-DDDA29149DC4}"/>
    <cellStyle name="40% - Accent6 15" xfId="3351" xr:uid="{250009FB-9276-4B46-8534-124FB4838CBB}"/>
    <cellStyle name="40% - Accent6 2" xfId="63" xr:uid="{00000000-0005-0000-0000-0000B8020000}"/>
    <cellStyle name="40% - Accent6 2 2" xfId="116" xr:uid="{00000000-0005-0000-0000-0000B9020000}"/>
    <cellStyle name="40% - Accent6 2 2 2" xfId="221" xr:uid="{00000000-0005-0000-0000-0000BA020000}"/>
    <cellStyle name="40% - Accent6 2 2 2 2" xfId="430" xr:uid="{00000000-0005-0000-0000-0000BB020000}"/>
    <cellStyle name="40% - Accent6 2 2 2 2 2" xfId="847" xr:uid="{00000000-0005-0000-0000-0000BC020000}"/>
    <cellStyle name="40% - Accent6 2 2 2 2 2 2" xfId="1673" xr:uid="{15C3E7CB-717A-4724-BE9D-14429EEBCFC0}"/>
    <cellStyle name="40% - Accent6 2 2 2 2 2 3" xfId="2501" xr:uid="{59700259-F36D-4F7A-AEE0-B75A09A5CFA8}"/>
    <cellStyle name="40% - Accent6 2 2 2 2 2 4" xfId="3325" xr:uid="{EEF203A7-9B70-4C2C-96A9-730FACAF865C}"/>
    <cellStyle name="40% - Accent6 2 2 2 2 2 5" xfId="4149" xr:uid="{C7BA3507-FC20-483E-BD4E-165CA30933D3}"/>
    <cellStyle name="40% - Accent6 2 2 2 2 3" xfId="1256" xr:uid="{D8F44E0A-4645-465A-BFD9-CF5E677A4169}"/>
    <cellStyle name="40% - Accent6 2 2 2 2 4" xfId="2084" xr:uid="{92B30F0F-BD9E-4FF5-A8DF-3E4CF5FE854B}"/>
    <cellStyle name="40% - Accent6 2 2 2 2 5" xfId="2908" xr:uid="{740EE043-13D9-47B3-93A6-ED3D8EEF436F}"/>
    <cellStyle name="40% - Accent6 2 2 2 2 6" xfId="3732" xr:uid="{749A2A32-52FE-49EA-86B5-D374C240B629}"/>
    <cellStyle name="40% - Accent6 2 2 2 3" xfId="639" xr:uid="{00000000-0005-0000-0000-0000BD020000}"/>
    <cellStyle name="40% - Accent6 2 2 2 3 2" xfId="1465" xr:uid="{56828A63-505C-4E02-8B93-A59284944F8C}"/>
    <cellStyle name="40% - Accent6 2 2 2 3 3" xfId="2293" xr:uid="{854420C4-6C80-4CA5-B7E4-9A76DB4E3020}"/>
    <cellStyle name="40% - Accent6 2 2 2 3 4" xfId="3117" xr:uid="{23ED6B64-D128-4022-9420-B0E957F660C5}"/>
    <cellStyle name="40% - Accent6 2 2 2 3 5" xfId="3941" xr:uid="{D81334F1-3B70-49DB-B280-BAA6344BD0D4}"/>
    <cellStyle name="40% - Accent6 2 2 2 4" xfId="1047" xr:uid="{FB01B390-0D5B-4B05-BC98-2D90A79A15E1}"/>
    <cellStyle name="40% - Accent6 2 2 2 5" xfId="1875" xr:uid="{FCAC20BA-3EEB-45A1-80F6-6A4E148D9DB7}"/>
    <cellStyle name="40% - Accent6 2 2 2 6" xfId="2699" xr:uid="{FBBDA423-EBB5-4D4F-8C5E-FC02646A8281}"/>
    <cellStyle name="40% - Accent6 2 2 2 7" xfId="3523" xr:uid="{9F6FD9F3-F780-419A-8A29-23F2CFEB5ECD}"/>
    <cellStyle name="40% - Accent6 2 2 3" xfId="326" xr:uid="{00000000-0005-0000-0000-0000BE020000}"/>
    <cellStyle name="40% - Accent6 2 2 3 2" xfId="743" xr:uid="{00000000-0005-0000-0000-0000BF020000}"/>
    <cellStyle name="40% - Accent6 2 2 3 2 2" xfId="1569" xr:uid="{2AC38FEF-681E-435A-BB23-8D425E6BEC90}"/>
    <cellStyle name="40% - Accent6 2 2 3 2 3" xfId="2397" xr:uid="{05AD96B7-8C9E-48D3-B000-6BBD158E2D40}"/>
    <cellStyle name="40% - Accent6 2 2 3 2 4" xfId="3221" xr:uid="{87013AAB-52CA-4553-9E7F-FBA61BE46F7D}"/>
    <cellStyle name="40% - Accent6 2 2 3 2 5" xfId="4045" xr:uid="{6F119938-2CCA-478F-A7A3-ECA242552921}"/>
    <cellStyle name="40% - Accent6 2 2 3 3" xfId="1152" xr:uid="{3BD92E68-D1BF-4446-A5EC-CDFE9C6FB1BD}"/>
    <cellStyle name="40% - Accent6 2 2 3 4" xfId="1980" xr:uid="{D0C731C7-F8AC-4D3F-A41A-409B2D0D7340}"/>
    <cellStyle name="40% - Accent6 2 2 3 5" xfId="2804" xr:uid="{057AE042-6F4D-4779-82A9-6901C8A850DB}"/>
    <cellStyle name="40% - Accent6 2 2 3 6" xfId="3628" xr:uid="{84B6C67A-487D-4964-9D70-A3276D1C17B7}"/>
    <cellStyle name="40% - Accent6 2 2 4" xfId="535" xr:uid="{00000000-0005-0000-0000-0000C0020000}"/>
    <cellStyle name="40% - Accent6 2 2 4 2" xfId="1361" xr:uid="{C1C93FE1-37FE-4601-9C57-87330DC10CA8}"/>
    <cellStyle name="40% - Accent6 2 2 4 3" xfId="2189" xr:uid="{42646D80-5CF6-4CB8-A208-EFD866289035}"/>
    <cellStyle name="40% - Accent6 2 2 4 4" xfId="3013" xr:uid="{C7F9426E-FDD0-47F6-B00A-1FC927B47183}"/>
    <cellStyle name="40% - Accent6 2 2 4 5" xfId="3837" xr:uid="{AE3BAD97-EAC9-4B30-B3D9-0EE1018EEE60}"/>
    <cellStyle name="40% - Accent6 2 2 5" xfId="942" xr:uid="{8E38FF9A-786C-4306-B27C-1CADE47B4928}"/>
    <cellStyle name="40% - Accent6 2 2 6" xfId="1770" xr:uid="{755E1A78-2F03-4D8E-85CF-B98DC1EACE54}"/>
    <cellStyle name="40% - Accent6 2 2 7" xfId="2594" xr:uid="{FAC850D0-5175-4C43-B3E5-1F63B4249D72}"/>
    <cellStyle name="40% - Accent6 2 2 8" xfId="3418" xr:uid="{7071B036-7E97-462B-A5DF-BA3F1387F7BE}"/>
    <cellStyle name="40% - Accent6 2 3" xfId="169" xr:uid="{00000000-0005-0000-0000-0000C1020000}"/>
    <cellStyle name="40% - Accent6 2 3 2" xfId="378" xr:uid="{00000000-0005-0000-0000-0000C2020000}"/>
    <cellStyle name="40% - Accent6 2 3 2 2" xfId="795" xr:uid="{00000000-0005-0000-0000-0000C3020000}"/>
    <cellStyle name="40% - Accent6 2 3 2 2 2" xfId="1621" xr:uid="{CFBACFF4-D1BC-43E3-AA94-BDC68E1B7601}"/>
    <cellStyle name="40% - Accent6 2 3 2 2 3" xfId="2449" xr:uid="{DC43E162-1403-4E64-B173-E3F1FAC5CA8C}"/>
    <cellStyle name="40% - Accent6 2 3 2 2 4" xfId="3273" xr:uid="{BCD1AD01-B0F4-40E9-B5FB-87DE01B51E12}"/>
    <cellStyle name="40% - Accent6 2 3 2 2 5" xfId="4097" xr:uid="{EEBADDE8-2F6A-4CB7-AC73-FE26735F7C4F}"/>
    <cellStyle name="40% - Accent6 2 3 2 3" xfId="1204" xr:uid="{F9BD11C3-1C5D-44CF-90A2-523D3E2A0767}"/>
    <cellStyle name="40% - Accent6 2 3 2 4" xfId="2032" xr:uid="{46A51FEA-B956-4BC2-A1AA-B642024AC173}"/>
    <cellStyle name="40% - Accent6 2 3 2 5" xfId="2856" xr:uid="{82B8C06B-014C-487E-B7FF-92E384DB7312}"/>
    <cellStyle name="40% - Accent6 2 3 2 6" xfId="3680" xr:uid="{4E4F3688-17D2-4340-B7F3-E9AE25623C46}"/>
    <cellStyle name="40% - Accent6 2 3 3" xfId="587" xr:uid="{00000000-0005-0000-0000-0000C4020000}"/>
    <cellStyle name="40% - Accent6 2 3 3 2" xfId="1413" xr:uid="{5FAE06AE-97BA-4186-87E9-5F679F8A30BD}"/>
    <cellStyle name="40% - Accent6 2 3 3 3" xfId="2241" xr:uid="{630BFE4C-4E44-48F4-BAB5-0B19FBE9AA94}"/>
    <cellStyle name="40% - Accent6 2 3 3 4" xfId="3065" xr:uid="{2359D18E-59CB-4AEF-AAA2-EC8C43F4AA8F}"/>
    <cellStyle name="40% - Accent6 2 3 3 5" xfId="3889" xr:uid="{277E20D2-1D87-4F57-96D1-F6C1D8B658A0}"/>
    <cellStyle name="40% - Accent6 2 3 4" xfId="995" xr:uid="{10C07CE4-DC59-49C2-BA8D-D1EA2E1E16E3}"/>
    <cellStyle name="40% - Accent6 2 3 5" xfId="1823" xr:uid="{98964C2F-B9AA-4D9C-B781-AF0CFFD40295}"/>
    <cellStyle name="40% - Accent6 2 3 6" xfId="2647" xr:uid="{D3BBB985-DBD9-45ED-A82A-EEAF064B9846}"/>
    <cellStyle name="40% - Accent6 2 3 7" xfId="3471" xr:uid="{3FCD3073-53CB-4C41-9C0A-556535CA55C5}"/>
    <cellStyle name="40% - Accent6 2 4" xfId="274" xr:uid="{00000000-0005-0000-0000-0000C5020000}"/>
    <cellStyle name="40% - Accent6 2 4 2" xfId="691" xr:uid="{00000000-0005-0000-0000-0000C6020000}"/>
    <cellStyle name="40% - Accent6 2 4 2 2" xfId="1517" xr:uid="{B32DC355-6ECF-4680-AD7E-C1E8F452F50D}"/>
    <cellStyle name="40% - Accent6 2 4 2 3" xfId="2345" xr:uid="{CB6C73CC-373C-4F66-BCF7-729F7424DC67}"/>
    <cellStyle name="40% - Accent6 2 4 2 4" xfId="3169" xr:uid="{D2A858CE-556F-46CE-81EE-75D894A29E7D}"/>
    <cellStyle name="40% - Accent6 2 4 2 5" xfId="3993" xr:uid="{82591081-6184-48A7-B138-72872DAEEAD3}"/>
    <cellStyle name="40% - Accent6 2 4 3" xfId="1100" xr:uid="{21FFE15C-B5A8-4A0B-8E8B-58041E0482CC}"/>
    <cellStyle name="40% - Accent6 2 4 4" xfId="1928" xr:uid="{E85F7130-AE72-430B-9B89-9B25305383D5}"/>
    <cellStyle name="40% - Accent6 2 4 5" xfId="2752" xr:uid="{45963FC7-0630-41F8-A524-81FF09D53177}"/>
    <cellStyle name="40% - Accent6 2 4 6" xfId="3576" xr:uid="{8BE09D12-D583-453F-83B3-775DD19D54B7}"/>
    <cellStyle name="40% - Accent6 2 5" xfId="483" xr:uid="{00000000-0005-0000-0000-0000C7020000}"/>
    <cellStyle name="40% - Accent6 2 5 2" xfId="1309" xr:uid="{2099AA47-F079-4E40-AB19-7D41E3D60F42}"/>
    <cellStyle name="40% - Accent6 2 5 3" xfId="2137" xr:uid="{F6397AE2-0776-4812-A3AA-08D368E0AED8}"/>
    <cellStyle name="40% - Accent6 2 5 4" xfId="2961" xr:uid="{A88DAAFB-3B59-48A9-B96F-1AFEF2A480FB}"/>
    <cellStyle name="40% - Accent6 2 5 5" xfId="3785" xr:uid="{00029BAE-1A9A-48A6-A391-12D6F43931BE}"/>
    <cellStyle name="40% - Accent6 2 6" xfId="889" xr:uid="{49917513-8B92-4D48-B73F-8B17970DF74E}"/>
    <cellStyle name="40% - Accent6 2 7" xfId="1717" xr:uid="{5D7FCE0B-CEC8-4A3C-8255-7DA2181D2182}"/>
    <cellStyle name="40% - Accent6 2 8" xfId="2541" xr:uid="{2EAA456F-180C-4E53-9A21-68F6F2006CE9}"/>
    <cellStyle name="40% - Accent6 2 9" xfId="3365" xr:uid="{D977408E-D92E-42B4-A6F4-B4D46337770A}"/>
    <cellStyle name="40% - Accent6 3" xfId="76" xr:uid="{00000000-0005-0000-0000-0000C8020000}"/>
    <cellStyle name="40% - Accent6 3 2" xfId="129" xr:uid="{00000000-0005-0000-0000-0000C9020000}"/>
    <cellStyle name="40% - Accent6 3 2 2" xfId="234" xr:uid="{00000000-0005-0000-0000-0000CA020000}"/>
    <cellStyle name="40% - Accent6 3 2 2 2" xfId="443" xr:uid="{00000000-0005-0000-0000-0000CB020000}"/>
    <cellStyle name="40% - Accent6 3 2 2 2 2" xfId="860" xr:uid="{00000000-0005-0000-0000-0000CC020000}"/>
    <cellStyle name="40% - Accent6 3 2 2 2 2 2" xfId="1686" xr:uid="{8C55A2C1-F18A-4A92-BD6B-BD661BEB474F}"/>
    <cellStyle name="40% - Accent6 3 2 2 2 2 3" xfId="2514" xr:uid="{53242BAB-3F11-4D9E-A01C-BB23D4F50C36}"/>
    <cellStyle name="40% - Accent6 3 2 2 2 2 4" xfId="3338" xr:uid="{22F6B873-9D6B-4100-BF39-CAC8F54EE5A2}"/>
    <cellStyle name="40% - Accent6 3 2 2 2 2 5" xfId="4162" xr:uid="{C58B008F-CD1A-41F8-B50B-9183268EC2EC}"/>
    <cellStyle name="40% - Accent6 3 2 2 2 3" xfId="1269" xr:uid="{03B5FA8E-C9B8-4D34-903A-67BDA71988E2}"/>
    <cellStyle name="40% - Accent6 3 2 2 2 4" xfId="2097" xr:uid="{5168F84F-5180-429B-92E3-E27D9C79E0AD}"/>
    <cellStyle name="40% - Accent6 3 2 2 2 5" xfId="2921" xr:uid="{10EF1134-9D79-4ECE-AC06-7A06F3A14B5D}"/>
    <cellStyle name="40% - Accent6 3 2 2 2 6" xfId="3745" xr:uid="{B36AAB13-D8EA-4FA1-8779-75F1192624A1}"/>
    <cellStyle name="40% - Accent6 3 2 2 3" xfId="652" xr:uid="{00000000-0005-0000-0000-0000CD020000}"/>
    <cellStyle name="40% - Accent6 3 2 2 3 2" xfId="1478" xr:uid="{3DB87CB9-4F1F-4C74-90C1-20A84676DAFD}"/>
    <cellStyle name="40% - Accent6 3 2 2 3 3" xfId="2306" xr:uid="{95F70240-7497-411E-B3DE-3DE94CDA2D35}"/>
    <cellStyle name="40% - Accent6 3 2 2 3 4" xfId="3130" xr:uid="{1207CF4D-506F-4D3D-9F8C-15D9C66ED5D2}"/>
    <cellStyle name="40% - Accent6 3 2 2 3 5" xfId="3954" xr:uid="{E0EF5C27-7383-4223-878E-49CAE1AAE0B7}"/>
    <cellStyle name="40% - Accent6 3 2 2 4" xfId="1060" xr:uid="{BEF2EAEE-3842-49C6-8FAE-448EC631A7D0}"/>
    <cellStyle name="40% - Accent6 3 2 2 5" xfId="1888" xr:uid="{3D6BEA66-0FDC-4709-9CDB-AA37E1D94256}"/>
    <cellStyle name="40% - Accent6 3 2 2 6" xfId="2712" xr:uid="{A2F91DA3-986B-4A06-946E-258EC14CCF05}"/>
    <cellStyle name="40% - Accent6 3 2 2 7" xfId="3536" xr:uid="{D0C7D337-8B6C-4E65-A96B-7C7F0BAB7CFB}"/>
    <cellStyle name="40% - Accent6 3 2 3" xfId="339" xr:uid="{00000000-0005-0000-0000-0000CE020000}"/>
    <cellStyle name="40% - Accent6 3 2 3 2" xfId="756" xr:uid="{00000000-0005-0000-0000-0000CF020000}"/>
    <cellStyle name="40% - Accent6 3 2 3 2 2" xfId="1582" xr:uid="{24221B2D-A919-4B71-8C57-65593747EAFD}"/>
    <cellStyle name="40% - Accent6 3 2 3 2 3" xfId="2410" xr:uid="{46243416-2BAA-44E9-81F0-4E3F70F5CB49}"/>
    <cellStyle name="40% - Accent6 3 2 3 2 4" xfId="3234" xr:uid="{44833BE1-2613-42BE-A35D-9B6364998764}"/>
    <cellStyle name="40% - Accent6 3 2 3 2 5" xfId="4058" xr:uid="{AB4F1C5F-0E87-4F42-AB3F-9F01012E77F9}"/>
    <cellStyle name="40% - Accent6 3 2 3 3" xfId="1165" xr:uid="{FEEF7DF9-69A4-4CBB-8A3E-010A97E0F4C7}"/>
    <cellStyle name="40% - Accent6 3 2 3 4" xfId="1993" xr:uid="{F0C5E825-ED11-4A19-9C2F-220DB3617B3E}"/>
    <cellStyle name="40% - Accent6 3 2 3 5" xfId="2817" xr:uid="{957C6F01-37AE-4312-A397-53D484F51EFD}"/>
    <cellStyle name="40% - Accent6 3 2 3 6" xfId="3641" xr:uid="{F5CC3501-F886-4E69-BF67-410F289D344B}"/>
    <cellStyle name="40% - Accent6 3 2 4" xfId="548" xr:uid="{00000000-0005-0000-0000-0000D0020000}"/>
    <cellStyle name="40% - Accent6 3 2 4 2" xfId="1374" xr:uid="{B5126C58-C56B-4547-BDD8-AC91005CA30E}"/>
    <cellStyle name="40% - Accent6 3 2 4 3" xfId="2202" xr:uid="{E1DD2726-83CA-42FA-B60F-B200C782E13D}"/>
    <cellStyle name="40% - Accent6 3 2 4 4" xfId="3026" xr:uid="{594877E1-7B2B-47A1-877E-95ABB9BE707A}"/>
    <cellStyle name="40% - Accent6 3 2 4 5" xfId="3850" xr:uid="{C62C912E-B2D3-4E73-8E90-37E61E85B5F4}"/>
    <cellStyle name="40% - Accent6 3 2 5" xfId="955" xr:uid="{DE73F295-47AA-4245-BAA0-88DC56DAF72B}"/>
    <cellStyle name="40% - Accent6 3 2 6" xfId="1783" xr:uid="{662B4498-E12E-4F11-9943-4316F648C568}"/>
    <cellStyle name="40% - Accent6 3 2 7" xfId="2607" xr:uid="{C1F146B6-FFEB-4784-8A51-562E54BFC5A4}"/>
    <cellStyle name="40% - Accent6 3 2 8" xfId="3431" xr:uid="{2A3CB990-97F9-4F6F-A8DA-6D96B1E59E7D}"/>
    <cellStyle name="40% - Accent6 3 3" xfId="182" xr:uid="{00000000-0005-0000-0000-0000D1020000}"/>
    <cellStyle name="40% - Accent6 3 3 2" xfId="391" xr:uid="{00000000-0005-0000-0000-0000D2020000}"/>
    <cellStyle name="40% - Accent6 3 3 2 2" xfId="808" xr:uid="{00000000-0005-0000-0000-0000D3020000}"/>
    <cellStyle name="40% - Accent6 3 3 2 2 2" xfId="1634" xr:uid="{B1B0E290-FB47-486C-9318-E577A8EE7783}"/>
    <cellStyle name="40% - Accent6 3 3 2 2 3" xfId="2462" xr:uid="{28EB05BF-ACBC-43BE-948D-69265F70481A}"/>
    <cellStyle name="40% - Accent6 3 3 2 2 4" xfId="3286" xr:uid="{338A4F5D-2831-47CD-8F1D-4B04B1702CC2}"/>
    <cellStyle name="40% - Accent6 3 3 2 2 5" xfId="4110" xr:uid="{E430AFEA-0AAE-46B8-BAA2-286DB2C989DD}"/>
    <cellStyle name="40% - Accent6 3 3 2 3" xfId="1217" xr:uid="{FF771765-DA2C-4605-98C7-FA2A12798627}"/>
    <cellStyle name="40% - Accent6 3 3 2 4" xfId="2045" xr:uid="{F9891F07-2CAA-4B61-BADE-40F099892BB8}"/>
    <cellStyle name="40% - Accent6 3 3 2 5" xfId="2869" xr:uid="{42F89939-49D3-45FC-B06C-21784EDC77DA}"/>
    <cellStyle name="40% - Accent6 3 3 2 6" xfId="3693" xr:uid="{C352E079-33C6-4938-B681-3BD6EF4FC41B}"/>
    <cellStyle name="40% - Accent6 3 3 3" xfId="600" xr:uid="{00000000-0005-0000-0000-0000D4020000}"/>
    <cellStyle name="40% - Accent6 3 3 3 2" xfId="1426" xr:uid="{0A8D9314-1E6E-49CC-BA6A-960DABE1E767}"/>
    <cellStyle name="40% - Accent6 3 3 3 3" xfId="2254" xr:uid="{077F7D86-FB28-4C0E-9958-03E5338A8E5D}"/>
    <cellStyle name="40% - Accent6 3 3 3 4" xfId="3078" xr:uid="{A0008734-D9B3-437B-8B2F-BE8BF57BB6D6}"/>
    <cellStyle name="40% - Accent6 3 3 3 5" xfId="3902" xr:uid="{AA2FEF65-CE6F-46E7-8B4C-7617776F8545}"/>
    <cellStyle name="40% - Accent6 3 3 4" xfId="1008" xr:uid="{9F8C7FAD-3157-4868-9E2F-3F47B95BC318}"/>
    <cellStyle name="40% - Accent6 3 3 5" xfId="1836" xr:uid="{1480D58E-61A7-4658-86FD-BD85E61A5FD7}"/>
    <cellStyle name="40% - Accent6 3 3 6" xfId="2660" xr:uid="{3BBC7B84-3B5B-4970-A068-B16FAB399354}"/>
    <cellStyle name="40% - Accent6 3 3 7" xfId="3484" xr:uid="{7B8A6204-728B-44E0-B2A8-CED63CE56C00}"/>
    <cellStyle name="40% - Accent6 3 4" xfId="287" xr:uid="{00000000-0005-0000-0000-0000D5020000}"/>
    <cellStyle name="40% - Accent6 3 4 2" xfId="704" xr:uid="{00000000-0005-0000-0000-0000D6020000}"/>
    <cellStyle name="40% - Accent6 3 4 2 2" xfId="1530" xr:uid="{335B3F71-ABCB-4F24-9D90-2685AF71296E}"/>
    <cellStyle name="40% - Accent6 3 4 2 3" xfId="2358" xr:uid="{BDF4B28A-3D5B-42F6-9220-D54A209CB993}"/>
    <cellStyle name="40% - Accent6 3 4 2 4" xfId="3182" xr:uid="{C36064D1-A864-4F8B-8B1F-CA895950930B}"/>
    <cellStyle name="40% - Accent6 3 4 2 5" xfId="4006" xr:uid="{51724277-95DE-4783-B929-5F06359B18F2}"/>
    <cellStyle name="40% - Accent6 3 4 3" xfId="1113" xr:uid="{36FBAE8D-DEC4-43C1-8EDE-DF617FA348CA}"/>
    <cellStyle name="40% - Accent6 3 4 4" xfId="1941" xr:uid="{39F591DD-90E0-44B1-8C96-C3EBB0C1A95D}"/>
    <cellStyle name="40% - Accent6 3 4 5" xfId="2765" xr:uid="{FDEEDA64-CC63-48CB-901F-BDED228C7809}"/>
    <cellStyle name="40% - Accent6 3 4 6" xfId="3589" xr:uid="{27F81BB7-75EB-42BC-A419-6CE20D9E37AB}"/>
    <cellStyle name="40% - Accent6 3 5" xfId="496" xr:uid="{00000000-0005-0000-0000-0000D7020000}"/>
    <cellStyle name="40% - Accent6 3 5 2" xfId="1322" xr:uid="{C0AEB886-3F3E-4FE1-BCE5-41E24748F445}"/>
    <cellStyle name="40% - Accent6 3 5 3" xfId="2150" xr:uid="{F2C6BBA5-F6B1-4109-87ED-8F80D48FFED5}"/>
    <cellStyle name="40% - Accent6 3 5 4" xfId="2974" xr:uid="{3B2CEDD6-4BC8-4076-8D9F-4F49C32FBE24}"/>
    <cellStyle name="40% - Accent6 3 5 5" xfId="3798" xr:uid="{FAE949F2-2D14-4396-95C8-C09DC5063E19}"/>
    <cellStyle name="40% - Accent6 3 6" xfId="902" xr:uid="{6CB338F2-54BF-4BFA-8417-887251837741}"/>
    <cellStyle name="40% - Accent6 3 7" xfId="1730" xr:uid="{C3B8BC24-5B8A-43BC-8224-F371486B692F}"/>
    <cellStyle name="40% - Accent6 3 8" xfId="2554" xr:uid="{0A69DD40-18C6-4AC7-934E-7C633E1B8C6C}"/>
    <cellStyle name="40% - Accent6 3 9" xfId="3378" xr:uid="{B640161B-32BD-4CCC-9C71-278422C88967}"/>
    <cellStyle name="40% - Accent6 4" xfId="89" xr:uid="{00000000-0005-0000-0000-0000D8020000}"/>
    <cellStyle name="40% - Accent6 4 2" xfId="195" xr:uid="{00000000-0005-0000-0000-0000D9020000}"/>
    <cellStyle name="40% - Accent6 4 2 2" xfId="404" xr:uid="{00000000-0005-0000-0000-0000DA020000}"/>
    <cellStyle name="40% - Accent6 4 2 2 2" xfId="821" xr:uid="{00000000-0005-0000-0000-0000DB020000}"/>
    <cellStyle name="40% - Accent6 4 2 2 2 2" xfId="1647" xr:uid="{591CC040-5133-42CF-A159-9F19A6183831}"/>
    <cellStyle name="40% - Accent6 4 2 2 2 3" xfId="2475" xr:uid="{1356730D-FA21-4FE7-B811-80A48CE7204E}"/>
    <cellStyle name="40% - Accent6 4 2 2 2 4" xfId="3299" xr:uid="{DE595B5F-6FF5-43B5-AA5E-DA5A4A8ED223}"/>
    <cellStyle name="40% - Accent6 4 2 2 2 5" xfId="4123" xr:uid="{69EE3299-4496-46A5-B9FC-7812F75FBDFB}"/>
    <cellStyle name="40% - Accent6 4 2 2 3" xfId="1230" xr:uid="{E5C0C5F1-7711-4FC5-8117-9C7F78ECE4FA}"/>
    <cellStyle name="40% - Accent6 4 2 2 4" xfId="2058" xr:uid="{A6FB552D-163C-41A0-BB4E-F83992C635EC}"/>
    <cellStyle name="40% - Accent6 4 2 2 5" xfId="2882" xr:uid="{EDAA50E4-78D1-468B-A557-A3C1B8D00A72}"/>
    <cellStyle name="40% - Accent6 4 2 2 6" xfId="3706" xr:uid="{E6296161-E4F0-4312-B93C-80981E27DD52}"/>
    <cellStyle name="40% - Accent6 4 2 3" xfId="613" xr:uid="{00000000-0005-0000-0000-0000DC020000}"/>
    <cellStyle name="40% - Accent6 4 2 3 2" xfId="1439" xr:uid="{E746B0A4-DE63-464A-834E-5A8FBFF7A67E}"/>
    <cellStyle name="40% - Accent6 4 2 3 3" xfId="2267" xr:uid="{7F206C60-DB15-484A-95B6-C060F89EDBE1}"/>
    <cellStyle name="40% - Accent6 4 2 3 4" xfId="3091" xr:uid="{23E93079-079D-4E30-9C29-1C311850BBBA}"/>
    <cellStyle name="40% - Accent6 4 2 3 5" xfId="3915" xr:uid="{9CA64D33-570E-4E37-B8A2-54A0C0EFD0F5}"/>
    <cellStyle name="40% - Accent6 4 2 4" xfId="1021" xr:uid="{7C1BFA72-E07C-4CF2-97D9-18EDCA517552}"/>
    <cellStyle name="40% - Accent6 4 2 5" xfId="1849" xr:uid="{65E8027D-36CF-4EC2-A77C-C14AE4303523}"/>
    <cellStyle name="40% - Accent6 4 2 6" xfId="2673" xr:uid="{168849E0-E00B-4ABA-A3E8-5A30DBFB2B8F}"/>
    <cellStyle name="40% - Accent6 4 2 7" xfId="3497" xr:uid="{C8BABD20-FC6C-4A8C-BB5D-0A55A5890786}"/>
    <cellStyle name="40% - Accent6 4 3" xfId="300" xr:uid="{00000000-0005-0000-0000-0000DD020000}"/>
    <cellStyle name="40% - Accent6 4 3 2" xfId="717" xr:uid="{00000000-0005-0000-0000-0000DE020000}"/>
    <cellStyle name="40% - Accent6 4 3 2 2" xfId="1543" xr:uid="{B4A2BDC0-6AC5-40DE-A649-BE303E01299F}"/>
    <cellStyle name="40% - Accent6 4 3 2 3" xfId="2371" xr:uid="{D130CF4E-B4DF-4EF4-BF05-F99B2D85233F}"/>
    <cellStyle name="40% - Accent6 4 3 2 4" xfId="3195" xr:uid="{2E5CBB33-5468-4E3D-B7DA-3D5675AF98F4}"/>
    <cellStyle name="40% - Accent6 4 3 2 5" xfId="4019" xr:uid="{64431A76-486C-46C6-99C6-8BA1AB868BA2}"/>
    <cellStyle name="40% - Accent6 4 3 3" xfId="1126" xr:uid="{19B7D324-09C3-4753-8B07-71A139462847}"/>
    <cellStyle name="40% - Accent6 4 3 4" xfId="1954" xr:uid="{D0CF8E7D-6559-4FC9-862F-040F9E0E911C}"/>
    <cellStyle name="40% - Accent6 4 3 5" xfId="2778" xr:uid="{5FEDCCB0-D2E5-4524-A265-E4E2BB8D77CC}"/>
    <cellStyle name="40% - Accent6 4 3 6" xfId="3602" xr:uid="{2D670DB9-FF50-4A1B-B9C2-83D07549A369}"/>
    <cellStyle name="40% - Accent6 4 4" xfId="509" xr:uid="{00000000-0005-0000-0000-0000DF020000}"/>
    <cellStyle name="40% - Accent6 4 4 2" xfId="1335" xr:uid="{46E6EF46-036B-4567-B1FF-4DC882F2AE7E}"/>
    <cellStyle name="40% - Accent6 4 4 3" xfId="2163" xr:uid="{A8C6984C-485F-4581-8C08-8FB3A16921CC}"/>
    <cellStyle name="40% - Accent6 4 4 4" xfId="2987" xr:uid="{ABBACD66-4C06-4082-8075-DEA3C7FD3F61}"/>
    <cellStyle name="40% - Accent6 4 4 5" xfId="3811" xr:uid="{02B60C60-A8D1-4A39-8631-A345D55B2A93}"/>
    <cellStyle name="40% - Accent6 4 5" xfId="915" xr:uid="{7F8119B1-628F-4880-A091-F1BE36516069}"/>
    <cellStyle name="40% - Accent6 4 6" xfId="1743" xr:uid="{F55FF252-640C-4A55-91DB-5BEB80457D65}"/>
    <cellStyle name="40% - Accent6 4 7" xfId="2567" xr:uid="{4D53A446-56E3-47F5-9265-70F02DAB7276}"/>
    <cellStyle name="40% - Accent6 4 8" xfId="3391" xr:uid="{83F5E328-09AB-4F6B-9138-A4BE469B1C11}"/>
    <cellStyle name="40% - Accent6 5" xfId="102" xr:uid="{00000000-0005-0000-0000-0000E0020000}"/>
    <cellStyle name="40% - Accent6 5 2" xfId="207" xr:uid="{00000000-0005-0000-0000-0000E1020000}"/>
    <cellStyle name="40% - Accent6 5 2 2" xfId="416" xr:uid="{00000000-0005-0000-0000-0000E2020000}"/>
    <cellStyle name="40% - Accent6 5 2 2 2" xfId="833" xr:uid="{00000000-0005-0000-0000-0000E3020000}"/>
    <cellStyle name="40% - Accent6 5 2 2 2 2" xfId="1659" xr:uid="{5B8FED65-F532-49EF-9EC8-1AD857842DF5}"/>
    <cellStyle name="40% - Accent6 5 2 2 2 3" xfId="2487" xr:uid="{76CA465E-B120-4E1D-8C25-5D7761CAC4D0}"/>
    <cellStyle name="40% - Accent6 5 2 2 2 4" xfId="3311" xr:uid="{F3B4B8F0-058E-4F2A-980C-BA78024CAA78}"/>
    <cellStyle name="40% - Accent6 5 2 2 2 5" xfId="4135" xr:uid="{AD1155FD-457F-45B0-A0A0-960119384F8C}"/>
    <cellStyle name="40% - Accent6 5 2 2 3" xfId="1242" xr:uid="{9B4B6F2D-A826-4E53-B32E-A886F04AB340}"/>
    <cellStyle name="40% - Accent6 5 2 2 4" xfId="2070" xr:uid="{D9340B26-120E-409F-8B52-40D8245C3321}"/>
    <cellStyle name="40% - Accent6 5 2 2 5" xfId="2894" xr:uid="{8AF18F6C-DA7C-4C74-98E5-7629857161A9}"/>
    <cellStyle name="40% - Accent6 5 2 2 6" xfId="3718" xr:uid="{EA1CAD1C-E2E8-42EB-8858-1BA0B0F3C298}"/>
    <cellStyle name="40% - Accent6 5 2 3" xfId="625" xr:uid="{00000000-0005-0000-0000-0000E4020000}"/>
    <cellStyle name="40% - Accent6 5 2 3 2" xfId="1451" xr:uid="{7E1CACF9-EB52-43CE-9724-AA6FEA900B1D}"/>
    <cellStyle name="40% - Accent6 5 2 3 3" xfId="2279" xr:uid="{C7C8739D-A2AA-4005-B755-113BCEA05841}"/>
    <cellStyle name="40% - Accent6 5 2 3 4" xfId="3103" xr:uid="{6AE46982-6357-4827-AC0A-81E30E2183FB}"/>
    <cellStyle name="40% - Accent6 5 2 3 5" xfId="3927" xr:uid="{5EC9F10E-A03B-4FC0-B7A3-D012C9EC3AC4}"/>
    <cellStyle name="40% - Accent6 5 2 4" xfId="1033" xr:uid="{2827231E-C5EC-41F4-8EC1-EDC7404FBC40}"/>
    <cellStyle name="40% - Accent6 5 2 5" xfId="1861" xr:uid="{17B6CF7F-E008-4C40-AAAC-7030F90C0B0B}"/>
    <cellStyle name="40% - Accent6 5 2 6" xfId="2685" xr:uid="{F6DB8DAE-5E8D-41E0-8BD6-D5E91B8620D2}"/>
    <cellStyle name="40% - Accent6 5 2 7" xfId="3509" xr:uid="{17552D05-2E2D-48B6-B4B3-5C52D50FC94A}"/>
    <cellStyle name="40% - Accent6 5 3" xfId="312" xr:uid="{00000000-0005-0000-0000-0000E5020000}"/>
    <cellStyle name="40% - Accent6 5 3 2" xfId="729" xr:uid="{00000000-0005-0000-0000-0000E6020000}"/>
    <cellStyle name="40% - Accent6 5 3 2 2" xfId="1555" xr:uid="{542BC945-6132-4600-B934-D2BE74975555}"/>
    <cellStyle name="40% - Accent6 5 3 2 3" xfId="2383" xr:uid="{4606EC7E-3968-41E8-8A65-F9441AEB0326}"/>
    <cellStyle name="40% - Accent6 5 3 2 4" xfId="3207" xr:uid="{F98194EE-3F77-410A-8664-8D33DCF2E20D}"/>
    <cellStyle name="40% - Accent6 5 3 2 5" xfId="4031" xr:uid="{5947A907-9C75-4A23-B246-9AD43A4C5EB1}"/>
    <cellStyle name="40% - Accent6 5 3 3" xfId="1138" xr:uid="{E07700DE-461D-4C85-A6A0-918E3AE37E8C}"/>
    <cellStyle name="40% - Accent6 5 3 4" xfId="1966" xr:uid="{3C360516-B3EF-4359-ADE9-24AFA05BF128}"/>
    <cellStyle name="40% - Accent6 5 3 5" xfId="2790" xr:uid="{417A3D32-25D5-486D-84C3-2839CD2A301F}"/>
    <cellStyle name="40% - Accent6 5 3 6" xfId="3614" xr:uid="{D8DE4859-0B9E-4B41-A4CA-5E500174C8A6}"/>
    <cellStyle name="40% - Accent6 5 4" xfId="521" xr:uid="{00000000-0005-0000-0000-0000E7020000}"/>
    <cellStyle name="40% - Accent6 5 4 2" xfId="1347" xr:uid="{A17B55CF-925F-404E-84B4-8CEE363FDE0B}"/>
    <cellStyle name="40% - Accent6 5 4 3" xfId="2175" xr:uid="{D420064C-E8CF-4A70-B309-560950041FCA}"/>
    <cellStyle name="40% - Accent6 5 4 4" xfId="2999" xr:uid="{2ECB82F6-76B9-4420-BD8F-494A10948405}"/>
    <cellStyle name="40% - Accent6 5 4 5" xfId="3823" xr:uid="{08FEEA55-70A2-4400-8182-C24E97C9E330}"/>
    <cellStyle name="40% - Accent6 5 5" xfId="928" xr:uid="{90A9DD56-5DA2-412A-BE6B-067A635E0E5E}"/>
    <cellStyle name="40% - Accent6 5 6" xfId="1756" xr:uid="{6A8C7FC8-43DF-4D41-BE51-3C9C3047AC1F}"/>
    <cellStyle name="40% - Accent6 5 7" xfId="2580" xr:uid="{066F6EF7-99F3-458A-B867-191A9B93E008}"/>
    <cellStyle name="40% - Accent6 5 8" xfId="3404" xr:uid="{27E3BB4A-34FF-4394-9EEE-0C8291F9C075}"/>
    <cellStyle name="40% - Accent6 6" xfId="142" xr:uid="{00000000-0005-0000-0000-0000E8020000}"/>
    <cellStyle name="40% - Accent6 6 2" xfId="352" xr:uid="{00000000-0005-0000-0000-0000E9020000}"/>
    <cellStyle name="40% - Accent6 6 2 2" xfId="769" xr:uid="{00000000-0005-0000-0000-0000EA020000}"/>
    <cellStyle name="40% - Accent6 6 2 2 2" xfId="1595" xr:uid="{4D164DAE-182A-4993-891A-D291F6BA1045}"/>
    <cellStyle name="40% - Accent6 6 2 2 3" xfId="2423" xr:uid="{B7039CFC-196F-41FF-9F50-4DA0046B82EB}"/>
    <cellStyle name="40% - Accent6 6 2 2 4" xfId="3247" xr:uid="{BA25AB1F-F4DF-47AA-B53D-C2B2C25EAE24}"/>
    <cellStyle name="40% - Accent6 6 2 2 5" xfId="4071" xr:uid="{8CA41FE1-2471-4CDF-9CB4-D05611FC91B0}"/>
    <cellStyle name="40% - Accent6 6 2 3" xfId="1178" xr:uid="{CB8037D5-8AB4-4A7F-B32D-5BF15328697F}"/>
    <cellStyle name="40% - Accent6 6 2 4" xfId="2006" xr:uid="{75846A29-6ABB-49E0-A952-28D3CB58894C}"/>
    <cellStyle name="40% - Accent6 6 2 5" xfId="2830" xr:uid="{C88B8EBF-4A96-4D87-8BBD-A4A7397A42F8}"/>
    <cellStyle name="40% - Accent6 6 2 6" xfId="3654" xr:uid="{F3229AF9-5319-464F-AA16-FF0445C6F9D2}"/>
    <cellStyle name="40% - Accent6 6 3" xfId="561" xr:uid="{00000000-0005-0000-0000-0000EB020000}"/>
    <cellStyle name="40% - Accent6 6 3 2" xfId="1387" xr:uid="{68D26775-A98A-4E59-883A-6BC871E8C008}"/>
    <cellStyle name="40% - Accent6 6 3 3" xfId="2215" xr:uid="{DBB124F3-CF8A-4FC9-B7CA-C783BCD7A87C}"/>
    <cellStyle name="40% - Accent6 6 3 4" xfId="3039" xr:uid="{3E1BE5F3-2CCA-4F78-A1BB-58ADB8059A50}"/>
    <cellStyle name="40% - Accent6 6 3 5" xfId="3863" xr:uid="{B574DB3F-EAF2-4F33-93C4-FC5107B1F106}"/>
    <cellStyle name="40% - Accent6 6 4" xfId="968" xr:uid="{74F75D1D-B401-4690-A6B9-EB54A92BA387}"/>
    <cellStyle name="40% - Accent6 6 5" xfId="1796" xr:uid="{2C3BCB04-560E-4839-9D34-340E375E7437}"/>
    <cellStyle name="40% - Accent6 6 6" xfId="2620" xr:uid="{728C2A36-D33A-46EA-975C-78512A7E96F6}"/>
    <cellStyle name="40% - Accent6 6 7" xfId="3444" xr:uid="{9001B95E-8BEA-442E-9A83-F1F7002DDC7A}"/>
    <cellStyle name="40% - Accent6 7" xfId="155" xr:uid="{00000000-0005-0000-0000-0000EC020000}"/>
    <cellStyle name="40% - Accent6 7 2" xfId="364" xr:uid="{00000000-0005-0000-0000-0000ED020000}"/>
    <cellStyle name="40% - Accent6 7 2 2" xfId="781" xr:uid="{00000000-0005-0000-0000-0000EE020000}"/>
    <cellStyle name="40% - Accent6 7 2 2 2" xfId="1607" xr:uid="{C8EA46E1-B894-4565-BE05-07D214A29BE9}"/>
    <cellStyle name="40% - Accent6 7 2 2 3" xfId="2435" xr:uid="{08EBE6AA-9AB2-4C49-BECE-8C0D02723400}"/>
    <cellStyle name="40% - Accent6 7 2 2 4" xfId="3259" xr:uid="{7B215DB6-A0A7-41BC-A14D-F133A918AF68}"/>
    <cellStyle name="40% - Accent6 7 2 2 5" xfId="4083" xr:uid="{AFC263BB-0E52-4FCF-8E04-B79F37A11C15}"/>
    <cellStyle name="40% - Accent6 7 2 3" xfId="1190" xr:uid="{9A80E1FF-B22A-46E1-B666-2E9EE91E2192}"/>
    <cellStyle name="40% - Accent6 7 2 4" xfId="2018" xr:uid="{7A99758E-7ACF-4468-B8DD-C5D6421108F6}"/>
    <cellStyle name="40% - Accent6 7 2 5" xfId="2842" xr:uid="{9B349AD3-3133-4382-9389-077EB37B7338}"/>
    <cellStyle name="40% - Accent6 7 2 6" xfId="3666" xr:uid="{D28F0AF9-86E9-4DB6-9910-00770BABE9F0}"/>
    <cellStyle name="40% - Accent6 7 3" xfId="573" xr:uid="{00000000-0005-0000-0000-0000EF020000}"/>
    <cellStyle name="40% - Accent6 7 3 2" xfId="1399" xr:uid="{BF27BDF0-E16C-417F-B6FE-F67E2FF3E4E3}"/>
    <cellStyle name="40% - Accent6 7 3 3" xfId="2227" xr:uid="{AE83CCB0-10EB-458B-901C-FACCEEF051E4}"/>
    <cellStyle name="40% - Accent6 7 3 4" xfId="3051" xr:uid="{273259ED-DD0E-43DA-81D7-1A1BEDC09DE8}"/>
    <cellStyle name="40% - Accent6 7 3 5" xfId="3875" xr:uid="{90F4D037-237A-4B73-9EA9-18BCCBA5A530}"/>
    <cellStyle name="40% - Accent6 7 4" xfId="981" xr:uid="{58BD153A-2E84-479F-9DCE-99F397870592}"/>
    <cellStyle name="40% - Accent6 7 5" xfId="1809" xr:uid="{7CFCBC03-A6EC-43AD-91D3-EC9F7A9D5FF6}"/>
    <cellStyle name="40% - Accent6 7 6" xfId="2633" xr:uid="{21C1E848-F787-410F-B458-734AF01FDD26}"/>
    <cellStyle name="40% - Accent6 7 7" xfId="3457" xr:uid="{23C62EC0-A19F-4F29-9CB7-36D25E768FA9}"/>
    <cellStyle name="40% - Accent6 8" xfId="247" xr:uid="{00000000-0005-0000-0000-0000F0020000}"/>
    <cellStyle name="40% - Accent6 8 2" xfId="665" xr:uid="{00000000-0005-0000-0000-0000F1020000}"/>
    <cellStyle name="40% - Accent6 8 2 2" xfId="1491" xr:uid="{C4D6AE5E-FD69-4FD8-9649-D03611080C5D}"/>
    <cellStyle name="40% - Accent6 8 2 3" xfId="2319" xr:uid="{D6858718-94C8-427A-A1D4-086321B12DB5}"/>
    <cellStyle name="40% - Accent6 8 2 4" xfId="3143" xr:uid="{E4C1A9B2-083C-4EB6-9B15-3FC2E562D4AC}"/>
    <cellStyle name="40% - Accent6 8 2 5" xfId="3967" xr:uid="{10E28938-4C9B-40D8-8850-7A8A76881006}"/>
    <cellStyle name="40% - Accent6 8 3" xfId="1073" xr:uid="{E00AE3EE-9F02-48F7-AE6A-1906C4D1F838}"/>
    <cellStyle name="40% - Accent6 8 4" xfId="1901" xr:uid="{F82B5097-DF5D-4F7B-8D77-F08EC4DC60BF}"/>
    <cellStyle name="40% - Accent6 8 5" xfId="2725" xr:uid="{C3AC791A-137C-4484-930D-CB4BF755AD6C}"/>
    <cellStyle name="40% - Accent6 8 6" xfId="3549" xr:uid="{C18EC319-4CC6-4AB6-BC84-EDD2C21D3CB8}"/>
    <cellStyle name="40% - Accent6 9" xfId="260" xr:uid="{00000000-0005-0000-0000-0000F2020000}"/>
    <cellStyle name="40% - Accent6 9 2" xfId="677" xr:uid="{00000000-0005-0000-0000-0000F3020000}"/>
    <cellStyle name="40% - Accent6 9 2 2" xfId="1503" xr:uid="{DE976426-D2D8-4C68-B2FE-588832B66805}"/>
    <cellStyle name="40% - Accent6 9 2 3" xfId="2331" xr:uid="{AF52E752-8720-4181-85F3-7D9F0383D356}"/>
    <cellStyle name="40% - Accent6 9 2 4" xfId="3155" xr:uid="{4F9F5A81-008A-48F5-B50A-68E082B42B3E}"/>
    <cellStyle name="40% - Accent6 9 2 5" xfId="3979" xr:uid="{B4AE5DA7-C0D5-417A-A95F-0BB54E5E1852}"/>
    <cellStyle name="40% - Accent6 9 3" xfId="1086" xr:uid="{D3E577FD-0EEE-479F-84CC-4A2B4FA4F695}"/>
    <cellStyle name="40% - Accent6 9 4" xfId="1914" xr:uid="{DE40396D-4C2B-40FB-9687-AEEB599C3103}"/>
    <cellStyle name="40% - Accent6 9 5" xfId="2738" xr:uid="{F5AB1F50-4033-49CB-956D-3E0DAA8758C5}"/>
    <cellStyle name="40% - Accent6 9 6" xfId="3562" xr:uid="{1BC5D635-B5BF-4C45-B55A-A9B7A6374733}"/>
    <cellStyle name="60% - Accent1 2" xfId="43" xr:uid="{00000000-0005-0000-0000-00001C030000}"/>
    <cellStyle name="60% - Accent2 2" xfId="44" xr:uid="{00000000-0005-0000-0000-00001D030000}"/>
    <cellStyle name="60% - Accent3 2" xfId="45" xr:uid="{00000000-0005-0000-0000-00001E030000}"/>
    <cellStyle name="60% - Accent4 2" xfId="46" xr:uid="{00000000-0005-0000-0000-00001F030000}"/>
    <cellStyle name="60% - Accent5 2" xfId="47" xr:uid="{00000000-0005-0000-0000-000020030000}"/>
    <cellStyle name="60% - Accent6 2" xfId="48" xr:uid="{00000000-0005-0000-0000-000021030000}"/>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3" builtinId="27" customBuiltin="1"/>
    <cellStyle name="Calculation" xfId="16" builtinId="22" customBuiltin="1"/>
    <cellStyle name="Check Cell" xfId="18" builtinId="23" customBuiltin="1"/>
    <cellStyle name="Comma" xfId="1" builtinId="3"/>
    <cellStyle name="Comma 2" xfId="861" xr:uid="{ECED23C2-B97D-4B06-AFB8-FAA9A603272B}"/>
    <cellStyle name="Comma_ASSESSMENT MARK TESTING 2#" xfId="2" xr:uid="{00000000-0005-0000-0000-000001000000}"/>
    <cellStyle name="Currency" xfId="3" builtinId="4"/>
    <cellStyle name="Currency 10" xfId="1691" xr:uid="{E5885195-FF12-4FE2-8BE5-7A0DB23C9CE8}"/>
    <cellStyle name="Currency 11" xfId="2515" xr:uid="{B80642BF-6345-49A7-AA79-56E133C96530}"/>
    <cellStyle name="Currency 12" xfId="3339" xr:uid="{6BF02194-6BA5-4A6C-A8BE-1D100927C6FD}"/>
    <cellStyle name="Currency 2" xfId="90" xr:uid="{00000000-0005-0000-0000-000004030000}"/>
    <cellStyle name="Currency 2 2" xfId="916" xr:uid="{463B1CB0-65DE-4C5E-8108-6197891A502D}"/>
    <cellStyle name="Currency 2 3" xfId="1744" xr:uid="{2705002D-DDBB-46D3-B747-26904F3E48A1}"/>
    <cellStyle name="Currency 2 4" xfId="2568" xr:uid="{27896A27-47E9-4F23-BDC1-7B08F14018A1}"/>
    <cellStyle name="Currency 2 5" xfId="3392" xr:uid="{A8F40B3B-FD31-4884-BD47-42C4AFCA8DE1}"/>
    <cellStyle name="Currency 3" xfId="143" xr:uid="{00000000-0005-0000-0000-000005030000}"/>
    <cellStyle name="Currency 3 2" xfId="969" xr:uid="{C43EC7D6-D6A6-4898-AB4C-DCB2BABC875C}"/>
    <cellStyle name="Currency 3 3" xfId="1797" xr:uid="{78D0787C-04CB-4AE1-8C4D-877EE1240EC6}"/>
    <cellStyle name="Currency 3 4" xfId="2621" xr:uid="{E3A85B22-D1BE-48B1-B1A9-344DC08E758F}"/>
    <cellStyle name="Currency 3 5" xfId="3445" xr:uid="{699E61F3-C3F1-40C6-83F6-1B7028411EBA}"/>
    <cellStyle name="Currency 4" xfId="248" xr:uid="{00000000-0005-0000-0000-000006030000}"/>
    <cellStyle name="Currency 4 2" xfId="1074" xr:uid="{A8E1C656-8799-41F3-9359-F87971E9D7BF}"/>
    <cellStyle name="Currency 4 3" xfId="1902" xr:uid="{2536398C-600F-4740-BBE8-21115838BFC3}"/>
    <cellStyle name="Currency 4 4" xfId="2726" xr:uid="{2B67189B-DF09-4016-B547-6B6D7CB5EDFB}"/>
    <cellStyle name="Currency 4 5" xfId="3550" xr:uid="{FF49F6DC-17BE-4CA5-A791-3CB0BD857708}"/>
    <cellStyle name="Currency 5" xfId="457" xr:uid="{00000000-0005-0000-0000-000007030000}"/>
    <cellStyle name="Currency 5 2" xfId="1283" xr:uid="{82F7E9C7-8F50-47CA-B4EF-068E0EDC953C}"/>
    <cellStyle name="Currency 5 3" xfId="2111" xr:uid="{733FED36-9581-419E-98A9-843379B0C463}"/>
    <cellStyle name="Currency 5 4" xfId="2935" xr:uid="{337B0087-DADD-4E80-8F05-77E3F502FD09}"/>
    <cellStyle name="Currency 5 5" xfId="3759" xr:uid="{802D0E17-D138-44FC-AD0A-72406F2062A4}"/>
    <cellStyle name="Currency 6" xfId="40" xr:uid="{00000000-0005-0000-0000-000022030000}"/>
    <cellStyle name="Currency 6 2" xfId="875" xr:uid="{BF1BF254-01EC-4E2B-8FF0-B515E4C3A7C7}"/>
    <cellStyle name="Currency 7" xfId="862" xr:uid="{2E7DC1A3-0F00-46FA-B967-3A7F9BA40EEA}"/>
    <cellStyle name="Currency 8" xfId="1687" xr:uid="{C2117AC9-E996-4D4E-8815-4C61A8C1D69E}"/>
    <cellStyle name="Currency 9" xfId="1689" xr:uid="{87300C85-6346-4EA7-BCD5-9FB389BBE089}"/>
    <cellStyle name="Explanatory Text" xfId="20" builtinId="53" customBuiltin="1"/>
    <cellStyle name="Followed Hyperlink" xfId="1688" builtinId="9"/>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7" builtinId="8"/>
    <cellStyle name="Input" xfId="14" builtinId="20" customBuiltin="1"/>
    <cellStyle name="Linked Cell" xfId="17" builtinId="24" customBuiltin="1"/>
    <cellStyle name="Neutral 2" xfId="42" xr:uid="{00000000-0005-0000-0000-000027030000}"/>
    <cellStyle name="Normal" xfId="0" builtinId="0" customBuiltin="1"/>
    <cellStyle name="Normal 2" xfId="49" xr:uid="{00000000-0005-0000-0000-000012030000}"/>
    <cellStyle name="Normal 3" xfId="4163" xr:uid="{AF569274-02C7-433A-B2B1-5D51E4588690}"/>
    <cellStyle name="Normal 3 2" xfId="4165" xr:uid="{D276F0F3-94D3-4563-8C7F-9F78A3C8F920}"/>
    <cellStyle name="Normal_Priority Direct Assessment Test" xfId="4" xr:uid="{00000000-0005-0000-0000-000005000000}"/>
    <cellStyle name="Normal_Priority Direct New Assessment" xfId="5" xr:uid="{00000000-0005-0000-0000-000006000000}"/>
    <cellStyle name="Note 2" xfId="50" xr:uid="{00000000-0005-0000-0000-000013030000}"/>
    <cellStyle name="Note 2 2" xfId="103" xr:uid="{00000000-0005-0000-0000-000014030000}"/>
    <cellStyle name="Note 2 2 2" xfId="208" xr:uid="{00000000-0005-0000-0000-000015030000}"/>
    <cellStyle name="Note 2 2 2 2" xfId="417" xr:uid="{00000000-0005-0000-0000-000016030000}"/>
    <cellStyle name="Note 2 2 2 2 2" xfId="834" xr:uid="{00000000-0005-0000-0000-000017030000}"/>
    <cellStyle name="Note 2 2 2 2 2 2" xfId="1660" xr:uid="{7A9B7DBA-D004-44EF-99EA-307DC00C3CE7}"/>
    <cellStyle name="Note 2 2 2 2 2 3" xfId="2488" xr:uid="{745387CD-65AA-4AD7-9769-9448EC60EE8A}"/>
    <cellStyle name="Note 2 2 2 2 2 4" xfId="3312" xr:uid="{046A85B6-BA39-44A7-A8CE-D6441A2AED26}"/>
    <cellStyle name="Note 2 2 2 2 2 5" xfId="4136" xr:uid="{3D97E3FB-777A-443D-8472-DA7985E8C773}"/>
    <cellStyle name="Note 2 2 2 2 3" xfId="1243" xr:uid="{F1E02E7B-A672-44DD-BD10-4B27EAA194F9}"/>
    <cellStyle name="Note 2 2 2 2 4" xfId="2071" xr:uid="{59999651-3E0E-416C-9376-94DD45686C3D}"/>
    <cellStyle name="Note 2 2 2 2 5" xfId="2895" xr:uid="{4C3EDD61-B1E7-419B-8548-E66D5BB27752}"/>
    <cellStyle name="Note 2 2 2 2 6" xfId="3719" xr:uid="{E054390F-61B1-4F14-ABFE-395FD70F41A4}"/>
    <cellStyle name="Note 2 2 2 3" xfId="626" xr:uid="{00000000-0005-0000-0000-000018030000}"/>
    <cellStyle name="Note 2 2 2 3 2" xfId="1452" xr:uid="{B1DE930D-047C-4420-A3AF-88066393C35E}"/>
    <cellStyle name="Note 2 2 2 3 3" xfId="2280" xr:uid="{9FB1AAE4-570D-4604-B1F2-9482E22552BF}"/>
    <cellStyle name="Note 2 2 2 3 4" xfId="3104" xr:uid="{35B5B14C-E7F3-43F9-B854-7D4ACB7676A0}"/>
    <cellStyle name="Note 2 2 2 3 5" xfId="3928" xr:uid="{635270D8-1CCE-4173-865A-1A20AC3E76C3}"/>
    <cellStyle name="Note 2 2 2 4" xfId="1034" xr:uid="{25E5B49A-3AF7-4D6F-8960-1C36D4CA03AC}"/>
    <cellStyle name="Note 2 2 2 5" xfId="1862" xr:uid="{3762BF44-67D9-4E6D-B823-83DB8952A174}"/>
    <cellStyle name="Note 2 2 2 6" xfId="2686" xr:uid="{AD455CA9-0FFA-49EC-A9B9-EF143A0627C0}"/>
    <cellStyle name="Note 2 2 2 7" xfId="3510" xr:uid="{5898EFA2-A7A2-4B09-89FC-FD3AB99AEE4F}"/>
    <cellStyle name="Note 2 2 3" xfId="313" xr:uid="{00000000-0005-0000-0000-000019030000}"/>
    <cellStyle name="Note 2 2 3 2" xfId="730" xr:uid="{00000000-0005-0000-0000-00001A030000}"/>
    <cellStyle name="Note 2 2 3 2 2" xfId="1556" xr:uid="{55CDDCED-FA99-49E3-862C-1BA97060BD85}"/>
    <cellStyle name="Note 2 2 3 2 3" xfId="2384" xr:uid="{88ECF192-F721-41CD-85E3-7A137A7F175A}"/>
    <cellStyle name="Note 2 2 3 2 4" xfId="3208" xr:uid="{FA40852E-4AFC-4620-A502-EE05B7DE0730}"/>
    <cellStyle name="Note 2 2 3 2 5" xfId="4032" xr:uid="{D498B335-01E2-411C-B765-8A9A967DB8AF}"/>
    <cellStyle name="Note 2 2 3 3" xfId="1139" xr:uid="{DBF50566-2244-4123-A1BC-BAAC7B803DFE}"/>
    <cellStyle name="Note 2 2 3 4" xfId="1967" xr:uid="{9828692E-0ED2-40A1-A6E5-B4E892FAB801}"/>
    <cellStyle name="Note 2 2 3 5" xfId="2791" xr:uid="{2D823624-563D-4075-AC00-AF4EA304C187}"/>
    <cellStyle name="Note 2 2 3 6" xfId="3615" xr:uid="{3E98E7FC-CE28-47B4-96CB-4B1A04847AB6}"/>
    <cellStyle name="Note 2 2 4" xfId="522" xr:uid="{00000000-0005-0000-0000-00001B030000}"/>
    <cellStyle name="Note 2 2 4 2" xfId="1348" xr:uid="{F0C6E425-FE13-47E3-A0E1-5DF713C5707F}"/>
    <cellStyle name="Note 2 2 4 3" xfId="2176" xr:uid="{D0A72974-A22F-44F4-91E2-5C9979DD8DF9}"/>
    <cellStyle name="Note 2 2 4 4" xfId="3000" xr:uid="{CF7C1D50-BCE1-4F36-AC4A-8A9745FCF049}"/>
    <cellStyle name="Note 2 2 4 5" xfId="3824" xr:uid="{781FE9C2-3FE2-40B1-AA6A-6C398AE5D22D}"/>
    <cellStyle name="Note 2 2 5" xfId="929" xr:uid="{33DBC19B-AA97-4A83-9075-AF5D9F1173C9}"/>
    <cellStyle name="Note 2 2 6" xfId="1757" xr:uid="{9A0D296A-B5C4-4CCD-8087-8292B90220E7}"/>
    <cellStyle name="Note 2 2 7" xfId="2581" xr:uid="{A9B35A0C-5571-434E-A74A-9B044A96BCE9}"/>
    <cellStyle name="Note 2 2 8" xfId="3405" xr:uid="{77990CB8-AD3C-4C27-8F2A-242FFC413BD1}"/>
    <cellStyle name="Note 2 3" xfId="156" xr:uid="{00000000-0005-0000-0000-00001C030000}"/>
    <cellStyle name="Note 2 3 2" xfId="365" xr:uid="{00000000-0005-0000-0000-00001D030000}"/>
    <cellStyle name="Note 2 3 2 2" xfId="782" xr:uid="{00000000-0005-0000-0000-00001E030000}"/>
    <cellStyle name="Note 2 3 2 2 2" xfId="1608" xr:uid="{45170440-9F00-4453-B944-94FB955EC51C}"/>
    <cellStyle name="Note 2 3 2 2 3" xfId="2436" xr:uid="{F07BAB65-30ED-464C-890F-7F8F07BBF4F6}"/>
    <cellStyle name="Note 2 3 2 2 4" xfId="3260" xr:uid="{6F50CC37-60D8-4150-BA44-46B7E7BCCD7A}"/>
    <cellStyle name="Note 2 3 2 2 5" xfId="4084" xr:uid="{10D20DB3-AF0B-4595-A2B5-1C83C2214006}"/>
    <cellStyle name="Note 2 3 2 3" xfId="1191" xr:uid="{6D4B223D-FE63-42EB-932A-809960D054FA}"/>
    <cellStyle name="Note 2 3 2 4" xfId="2019" xr:uid="{96219BA4-1F7C-4142-885D-519B1CABF22F}"/>
    <cellStyle name="Note 2 3 2 5" xfId="2843" xr:uid="{A52A686C-D0A3-46D6-A193-5618E89EE942}"/>
    <cellStyle name="Note 2 3 2 6" xfId="3667" xr:uid="{7459F957-61B2-4142-B78D-65C3DA690D55}"/>
    <cellStyle name="Note 2 3 3" xfId="574" xr:uid="{00000000-0005-0000-0000-00001F030000}"/>
    <cellStyle name="Note 2 3 3 2" xfId="1400" xr:uid="{C6113ABC-0AC5-4DDE-BF4A-35B20A04AA47}"/>
    <cellStyle name="Note 2 3 3 3" xfId="2228" xr:uid="{BB72F748-88A0-4F1D-9871-EE3ABA665C20}"/>
    <cellStyle name="Note 2 3 3 4" xfId="3052" xr:uid="{C15CF9D7-5737-4E2B-9197-233FD3215022}"/>
    <cellStyle name="Note 2 3 3 5" xfId="3876" xr:uid="{59E50D7F-1F5F-4BD8-9C56-C1575BF6CA1E}"/>
    <cellStyle name="Note 2 3 4" xfId="982" xr:uid="{4F1AC1FC-E993-4432-9012-F124F8209CE5}"/>
    <cellStyle name="Note 2 3 5" xfId="1810" xr:uid="{E968827E-700E-43D2-93C9-FE841636011B}"/>
    <cellStyle name="Note 2 3 6" xfId="2634" xr:uid="{1C54F091-2369-4326-AAEB-1BC54994F340}"/>
    <cellStyle name="Note 2 3 7" xfId="3458" xr:uid="{48614DBA-A4B4-49C6-95FB-277F4550A171}"/>
    <cellStyle name="Note 2 4" xfId="261" xr:uid="{00000000-0005-0000-0000-000020030000}"/>
    <cellStyle name="Note 2 4 2" xfId="678" xr:uid="{00000000-0005-0000-0000-000021030000}"/>
    <cellStyle name="Note 2 4 2 2" xfId="1504" xr:uid="{5B2EBE4E-CDBB-4B63-92AE-B95DFE596DFA}"/>
    <cellStyle name="Note 2 4 2 3" xfId="2332" xr:uid="{1B5CAF3D-297C-4B22-872B-1953867C7F09}"/>
    <cellStyle name="Note 2 4 2 4" xfId="3156" xr:uid="{4EF8E24C-4060-4BF5-9192-7147C2C91C7C}"/>
    <cellStyle name="Note 2 4 2 5" xfId="3980" xr:uid="{1F6D150C-6587-4B6C-B50E-0727EC54BC29}"/>
    <cellStyle name="Note 2 4 3" xfId="1087" xr:uid="{CA47A4DF-E9A0-494F-9A02-97082C665C31}"/>
    <cellStyle name="Note 2 4 4" xfId="1915" xr:uid="{711B0EA4-6290-4984-BAF1-D369E8BCF544}"/>
    <cellStyle name="Note 2 4 5" xfId="2739" xr:uid="{A9509940-FD8D-47C0-879E-ADAD9485B3D5}"/>
    <cellStyle name="Note 2 4 6" xfId="3563" xr:uid="{61095BC8-CCCE-42B5-B04B-33570A138387}"/>
    <cellStyle name="Note 2 5" xfId="470" xr:uid="{00000000-0005-0000-0000-000022030000}"/>
    <cellStyle name="Note 2 5 2" xfId="1296" xr:uid="{3925A865-AE8D-47D1-8083-27C5EBA943C1}"/>
    <cellStyle name="Note 2 5 3" xfId="2124" xr:uid="{1C7192EC-0415-4237-9983-F6235E09C98F}"/>
    <cellStyle name="Note 2 5 4" xfId="2948" xr:uid="{D6940821-D385-4FE4-8A41-A399469628A0}"/>
    <cellStyle name="Note 2 5 5" xfId="3772" xr:uid="{0BE673D2-4E45-4C9D-9D02-037CEFAE99D4}"/>
    <cellStyle name="Note 2 6" xfId="876" xr:uid="{75B5F54D-EAF0-476E-A607-AB07CA8E947E}"/>
    <cellStyle name="Note 2 7" xfId="1704" xr:uid="{D263DC71-EC3B-4691-B95B-0779043ED68E}"/>
    <cellStyle name="Note 2 8" xfId="2528" xr:uid="{5797BE42-A8E8-4B27-8C5D-C9E2E5B71BC8}"/>
    <cellStyle name="Note 2 9" xfId="3352" xr:uid="{532D4EC9-1F38-4450-8DC7-58CAB0DA1813}"/>
    <cellStyle name="Note 3" xfId="51" xr:uid="{00000000-0005-0000-0000-000023030000}"/>
    <cellStyle name="Note 3 2" xfId="104" xr:uid="{00000000-0005-0000-0000-000024030000}"/>
    <cellStyle name="Note 3 2 2" xfId="209" xr:uid="{00000000-0005-0000-0000-000025030000}"/>
    <cellStyle name="Note 3 2 2 2" xfId="418" xr:uid="{00000000-0005-0000-0000-000026030000}"/>
    <cellStyle name="Note 3 2 2 2 2" xfId="835" xr:uid="{00000000-0005-0000-0000-000027030000}"/>
    <cellStyle name="Note 3 2 2 2 2 2" xfId="1661" xr:uid="{1AF17DA9-01AB-4FB5-85DE-42055BBE7698}"/>
    <cellStyle name="Note 3 2 2 2 2 3" xfId="2489" xr:uid="{F6237337-5AEE-40A0-BF2C-0FE0E417A766}"/>
    <cellStyle name="Note 3 2 2 2 2 4" xfId="3313" xr:uid="{F402CE80-4885-4791-8BD7-7AC871A95787}"/>
    <cellStyle name="Note 3 2 2 2 2 5" xfId="4137" xr:uid="{85906F12-4842-4731-A1D4-5429507B7C41}"/>
    <cellStyle name="Note 3 2 2 2 3" xfId="1244" xr:uid="{9B0DE05A-32A1-461F-B58C-E89A1732CA6A}"/>
    <cellStyle name="Note 3 2 2 2 4" xfId="2072" xr:uid="{5A0AE6BD-0D9B-49C0-BDE5-7ED85796AC8B}"/>
    <cellStyle name="Note 3 2 2 2 5" xfId="2896" xr:uid="{4EAB1FD2-C77B-4A41-A949-A9CE8A5F008C}"/>
    <cellStyle name="Note 3 2 2 2 6" xfId="3720" xr:uid="{B611AEF7-5420-4142-AB10-13D8EA8303AD}"/>
    <cellStyle name="Note 3 2 2 3" xfId="627" xr:uid="{00000000-0005-0000-0000-000028030000}"/>
    <cellStyle name="Note 3 2 2 3 2" xfId="1453" xr:uid="{604B7018-6C5A-44A4-8FD0-2AAE4030021C}"/>
    <cellStyle name="Note 3 2 2 3 3" xfId="2281" xr:uid="{80DCF4AC-6E50-431A-B8B1-6D0C5742F5B9}"/>
    <cellStyle name="Note 3 2 2 3 4" xfId="3105" xr:uid="{C05E664E-57A8-4920-B5CB-75781F7F2625}"/>
    <cellStyle name="Note 3 2 2 3 5" xfId="3929" xr:uid="{5266B144-ADBC-44EF-A45F-3DA14976BB47}"/>
    <cellStyle name="Note 3 2 2 4" xfId="1035" xr:uid="{5D86580C-9C9F-449F-AC5B-4D0A0900906F}"/>
    <cellStyle name="Note 3 2 2 5" xfId="1863" xr:uid="{54C11C98-E55C-4BA7-88A0-19700D625234}"/>
    <cellStyle name="Note 3 2 2 6" xfId="2687" xr:uid="{7BCA514B-0DD0-42AE-85FE-83E6CF3B3858}"/>
    <cellStyle name="Note 3 2 2 7" xfId="3511" xr:uid="{C2C7B433-4A6C-4077-B1F9-ADEC37AEE370}"/>
    <cellStyle name="Note 3 2 3" xfId="314" xr:uid="{00000000-0005-0000-0000-000029030000}"/>
    <cellStyle name="Note 3 2 3 2" xfId="731" xr:uid="{00000000-0005-0000-0000-00002A030000}"/>
    <cellStyle name="Note 3 2 3 2 2" xfId="1557" xr:uid="{48829DF4-8F65-4DAB-A9D5-FF8720473987}"/>
    <cellStyle name="Note 3 2 3 2 3" xfId="2385" xr:uid="{0D71CADF-513E-4793-B062-B1F0A8D37B3D}"/>
    <cellStyle name="Note 3 2 3 2 4" xfId="3209" xr:uid="{4C84951E-7135-48D0-B271-5A355396127F}"/>
    <cellStyle name="Note 3 2 3 2 5" xfId="4033" xr:uid="{7EDDD383-9367-47A0-9D8C-66DD7AB84585}"/>
    <cellStyle name="Note 3 2 3 3" xfId="1140" xr:uid="{DED9B22A-CDE6-434E-A2B4-03D153941C15}"/>
    <cellStyle name="Note 3 2 3 4" xfId="1968" xr:uid="{2417F529-964C-4D7B-B4A2-005707C90895}"/>
    <cellStyle name="Note 3 2 3 5" xfId="2792" xr:uid="{76EDF4A1-0BED-4C95-90DE-23DE34AED69D}"/>
    <cellStyle name="Note 3 2 3 6" xfId="3616" xr:uid="{86C49800-4BC8-456E-8AE0-CDC493C97333}"/>
    <cellStyle name="Note 3 2 4" xfId="523" xr:uid="{00000000-0005-0000-0000-00002B030000}"/>
    <cellStyle name="Note 3 2 4 2" xfId="1349" xr:uid="{EEEB270F-26B1-4AB9-ACFE-2DA4C650005C}"/>
    <cellStyle name="Note 3 2 4 3" xfId="2177" xr:uid="{A7AB6DE5-2D63-467A-99F0-3E280EECEC0B}"/>
    <cellStyle name="Note 3 2 4 4" xfId="3001" xr:uid="{97230944-42FB-42B5-8C5A-6ED0DD2D71F7}"/>
    <cellStyle name="Note 3 2 4 5" xfId="3825" xr:uid="{4BBE0D6F-1F28-4052-A604-0F4FFDEA93AC}"/>
    <cellStyle name="Note 3 2 5" xfId="930" xr:uid="{9F4EE6B8-89C5-48F6-8A03-9E4D73611B80}"/>
    <cellStyle name="Note 3 2 6" xfId="1758" xr:uid="{5258A9F5-8029-4935-9298-DF1BBD093B84}"/>
    <cellStyle name="Note 3 2 7" xfId="2582" xr:uid="{5C2E0BA7-B824-4EDD-A2CC-B69F05D9C449}"/>
    <cellStyle name="Note 3 2 8" xfId="3406" xr:uid="{29506948-DD77-4C1E-A505-E68A93F446E0}"/>
    <cellStyle name="Note 3 3" xfId="157" xr:uid="{00000000-0005-0000-0000-00002C030000}"/>
    <cellStyle name="Note 3 3 2" xfId="366" xr:uid="{00000000-0005-0000-0000-00002D030000}"/>
    <cellStyle name="Note 3 3 2 2" xfId="783" xr:uid="{00000000-0005-0000-0000-00002E030000}"/>
    <cellStyle name="Note 3 3 2 2 2" xfId="1609" xr:uid="{45E33324-0159-43FC-906F-EB2F9103E3EC}"/>
    <cellStyle name="Note 3 3 2 2 3" xfId="2437" xr:uid="{85EDD2FE-33B5-4F48-B9E5-B0E1F7394630}"/>
    <cellStyle name="Note 3 3 2 2 4" xfId="3261" xr:uid="{BFB23FB2-6C8D-49AA-B97A-91167056AC4F}"/>
    <cellStyle name="Note 3 3 2 2 5" xfId="4085" xr:uid="{2D3BDCBE-885B-46BF-A5BA-FA3E4B130137}"/>
    <cellStyle name="Note 3 3 2 3" xfId="1192" xr:uid="{0903CD76-8B66-46BB-B542-16C31E44A967}"/>
    <cellStyle name="Note 3 3 2 4" xfId="2020" xr:uid="{3EF8BB0E-3D07-4E0F-8F4A-BE996C25B778}"/>
    <cellStyle name="Note 3 3 2 5" xfId="2844" xr:uid="{97802BCF-DBC5-4EBA-B8B9-CD2FD582B6F0}"/>
    <cellStyle name="Note 3 3 2 6" xfId="3668" xr:uid="{62778A51-F62A-4956-B2A2-F7DE3E50172C}"/>
    <cellStyle name="Note 3 3 3" xfId="575" xr:uid="{00000000-0005-0000-0000-00002F030000}"/>
    <cellStyle name="Note 3 3 3 2" xfId="1401" xr:uid="{A6638509-61E0-46CA-B79A-CE27C51DB546}"/>
    <cellStyle name="Note 3 3 3 3" xfId="2229" xr:uid="{6F48BFE2-F36B-4CF0-9940-BA92CAB467E0}"/>
    <cellStyle name="Note 3 3 3 4" xfId="3053" xr:uid="{4C6E2EC8-0C71-4F87-8FB2-4E3BD038D2A1}"/>
    <cellStyle name="Note 3 3 3 5" xfId="3877" xr:uid="{045BDED9-04A9-4DBD-B206-420B1C012682}"/>
    <cellStyle name="Note 3 3 4" xfId="983" xr:uid="{1E931E18-4FF0-49CB-A52D-37319BC93BB5}"/>
    <cellStyle name="Note 3 3 5" xfId="1811" xr:uid="{84408FEE-881D-4BAB-B205-872AFDFC0162}"/>
    <cellStyle name="Note 3 3 6" xfId="2635" xr:uid="{346FFD57-5268-4800-AEA6-1FB254C47C7F}"/>
    <cellStyle name="Note 3 3 7" xfId="3459" xr:uid="{EAFCE451-4764-41FA-A57D-30437B20102A}"/>
    <cellStyle name="Note 3 4" xfId="262" xr:uid="{00000000-0005-0000-0000-000030030000}"/>
    <cellStyle name="Note 3 4 2" xfId="679" xr:uid="{00000000-0005-0000-0000-000031030000}"/>
    <cellStyle name="Note 3 4 2 2" xfId="1505" xr:uid="{8464C8B9-CA83-4A82-BF0C-0079F8D22FA9}"/>
    <cellStyle name="Note 3 4 2 3" xfId="2333" xr:uid="{918A47DE-1C98-4842-968D-E21D14426276}"/>
    <cellStyle name="Note 3 4 2 4" xfId="3157" xr:uid="{85630188-1AF3-434B-B143-BCA07AE3AFB9}"/>
    <cellStyle name="Note 3 4 2 5" xfId="3981" xr:uid="{E7EED55F-76F9-4D0C-9C7C-79BCE929FC2D}"/>
    <cellStyle name="Note 3 4 3" xfId="1088" xr:uid="{9008F033-AF27-42E1-A443-850304ABCACC}"/>
    <cellStyle name="Note 3 4 4" xfId="1916" xr:uid="{C60F37AB-D9CE-4484-9DA9-E640F5CA74DF}"/>
    <cellStyle name="Note 3 4 5" xfId="2740" xr:uid="{E5D2C176-E24F-4547-8C91-839F4F901F27}"/>
    <cellStyle name="Note 3 4 6" xfId="3564" xr:uid="{021FEFE9-7D37-4F6D-8592-7B1F257F896E}"/>
    <cellStyle name="Note 3 5" xfId="471" xr:uid="{00000000-0005-0000-0000-000032030000}"/>
    <cellStyle name="Note 3 5 2" xfId="1297" xr:uid="{9C6658AA-BBAB-4E1A-9CD8-CA7BBA13884C}"/>
    <cellStyle name="Note 3 5 3" xfId="2125" xr:uid="{14D03699-2300-4383-AD9E-05A3739683E3}"/>
    <cellStyle name="Note 3 5 4" xfId="2949" xr:uid="{38790288-2C2F-46C2-8AFB-FE69200A2F3D}"/>
    <cellStyle name="Note 3 5 5" xfId="3773" xr:uid="{18234EBC-47B4-4E5A-AE95-3F43CFBB6D2B}"/>
    <cellStyle name="Note 3 6" xfId="877" xr:uid="{890F79FF-40CF-45D9-830F-1A700AFF3FAE}"/>
    <cellStyle name="Note 3 7" xfId="1705" xr:uid="{CB5D2349-F6FD-49B1-9070-9E716DA37967}"/>
    <cellStyle name="Note 3 8" xfId="2529" xr:uid="{48DA1661-4354-4A91-9E9A-5C5A32626BC1}"/>
    <cellStyle name="Note 3 9" xfId="3353" xr:uid="{D36C42AD-8157-4CAC-9502-F86137F2363C}"/>
    <cellStyle name="Note 4" xfId="64" xr:uid="{00000000-0005-0000-0000-000033030000}"/>
    <cellStyle name="Note 4 2" xfId="117" xr:uid="{00000000-0005-0000-0000-000034030000}"/>
    <cellStyle name="Note 4 2 2" xfId="222" xr:uid="{00000000-0005-0000-0000-000035030000}"/>
    <cellStyle name="Note 4 2 2 2" xfId="431" xr:uid="{00000000-0005-0000-0000-000036030000}"/>
    <cellStyle name="Note 4 2 2 2 2" xfId="848" xr:uid="{00000000-0005-0000-0000-000037030000}"/>
    <cellStyle name="Note 4 2 2 2 2 2" xfId="1674" xr:uid="{674390B6-5B11-4915-8BA3-34BBACC98F81}"/>
    <cellStyle name="Note 4 2 2 2 2 3" xfId="2502" xr:uid="{94A74169-3C2C-4454-A0AE-91DD5EAC0BF6}"/>
    <cellStyle name="Note 4 2 2 2 2 4" xfId="3326" xr:uid="{B3FBA828-1EF0-4807-84B4-2CBAFB531C11}"/>
    <cellStyle name="Note 4 2 2 2 2 5" xfId="4150" xr:uid="{22EBEF49-34E7-46F1-8281-25C9C4A22D5C}"/>
    <cellStyle name="Note 4 2 2 2 3" xfId="1257" xr:uid="{C89DC7C9-3E26-410F-BE17-1E019CDB726E}"/>
    <cellStyle name="Note 4 2 2 2 4" xfId="2085" xr:uid="{8174BFB5-5EB2-43BE-85D7-9A92D31201C7}"/>
    <cellStyle name="Note 4 2 2 2 5" xfId="2909" xr:uid="{6F53CDE0-CC54-459B-ACF7-ABD5F4210414}"/>
    <cellStyle name="Note 4 2 2 2 6" xfId="3733" xr:uid="{75301732-DC9F-4AE6-A050-6D4A296D0460}"/>
    <cellStyle name="Note 4 2 2 3" xfId="640" xr:uid="{00000000-0005-0000-0000-000038030000}"/>
    <cellStyle name="Note 4 2 2 3 2" xfId="1466" xr:uid="{D28FA1C1-C41D-4017-B42D-975C4C85BC84}"/>
    <cellStyle name="Note 4 2 2 3 3" xfId="2294" xr:uid="{AE12CEC4-A439-4C82-9FDC-4AC1DAF0BC45}"/>
    <cellStyle name="Note 4 2 2 3 4" xfId="3118" xr:uid="{165B3AAF-5507-4586-91E8-FB98F2419234}"/>
    <cellStyle name="Note 4 2 2 3 5" xfId="3942" xr:uid="{4D2AC110-3B51-4EDD-9F44-35444CC408CB}"/>
    <cellStyle name="Note 4 2 2 4" xfId="1048" xr:uid="{CF5AAD7D-941F-44AD-9015-FEE591419F96}"/>
    <cellStyle name="Note 4 2 2 5" xfId="1876" xr:uid="{7872D9B9-9822-4B2A-8BE2-6A3933B327F0}"/>
    <cellStyle name="Note 4 2 2 6" xfId="2700" xr:uid="{82F9D4B1-3054-4701-AB39-BE3CFD9A71BF}"/>
    <cellStyle name="Note 4 2 2 7" xfId="3524" xr:uid="{0DB18542-1299-4FDC-82AD-03B681C29871}"/>
    <cellStyle name="Note 4 2 3" xfId="327" xr:uid="{00000000-0005-0000-0000-000039030000}"/>
    <cellStyle name="Note 4 2 3 2" xfId="744" xr:uid="{00000000-0005-0000-0000-00003A030000}"/>
    <cellStyle name="Note 4 2 3 2 2" xfId="1570" xr:uid="{DA03FC2C-D32C-46BD-8A3C-95C3CE34058D}"/>
    <cellStyle name="Note 4 2 3 2 3" xfId="2398" xr:uid="{553F5B46-C808-49FA-890B-F84E3AA99AD1}"/>
    <cellStyle name="Note 4 2 3 2 4" xfId="3222" xr:uid="{AA3D25C9-AD0E-4354-9A7E-2835DAB4C732}"/>
    <cellStyle name="Note 4 2 3 2 5" xfId="4046" xr:uid="{EC6498B2-411D-487C-A457-541FAB11D7F0}"/>
    <cellStyle name="Note 4 2 3 3" xfId="1153" xr:uid="{4A5D22E6-F428-4D74-87C9-F6361D21CCA8}"/>
    <cellStyle name="Note 4 2 3 4" xfId="1981" xr:uid="{9BACDD61-3E1C-49A8-957B-57810C2F4AA8}"/>
    <cellStyle name="Note 4 2 3 5" xfId="2805" xr:uid="{D7FEE654-AA97-4362-9EC7-8B0D8C612D08}"/>
    <cellStyle name="Note 4 2 3 6" xfId="3629" xr:uid="{A67DB67A-9C49-4FD5-8379-0D313892F951}"/>
    <cellStyle name="Note 4 2 4" xfId="536" xr:uid="{00000000-0005-0000-0000-00003B030000}"/>
    <cellStyle name="Note 4 2 4 2" xfId="1362" xr:uid="{B5929441-A643-4051-9C02-1FB14074F48F}"/>
    <cellStyle name="Note 4 2 4 3" xfId="2190" xr:uid="{2A99E6B2-5A6F-4405-A2C1-C52FE2CF0307}"/>
    <cellStyle name="Note 4 2 4 4" xfId="3014" xr:uid="{8DE42EE6-E240-438C-9129-B1E175FF7127}"/>
    <cellStyle name="Note 4 2 4 5" xfId="3838" xr:uid="{DCB112B8-ADD9-4BBC-8482-820A2C0960DD}"/>
    <cellStyle name="Note 4 2 5" xfId="943" xr:uid="{1A7CCCFA-3872-4706-A28E-591116DE46AA}"/>
    <cellStyle name="Note 4 2 6" xfId="1771" xr:uid="{ED9ED50E-08C6-4734-A7AF-1A252E04AB3F}"/>
    <cellStyle name="Note 4 2 7" xfId="2595" xr:uid="{59BE6AB0-502A-40A2-B592-8DC59DEE8FCC}"/>
    <cellStyle name="Note 4 2 8" xfId="3419" xr:uid="{13F1ADD3-41CA-4D17-B590-3DBBC63AA951}"/>
    <cellStyle name="Note 4 3" xfId="170" xr:uid="{00000000-0005-0000-0000-00003C030000}"/>
    <cellStyle name="Note 4 3 2" xfId="379" xr:uid="{00000000-0005-0000-0000-00003D030000}"/>
    <cellStyle name="Note 4 3 2 2" xfId="796" xr:uid="{00000000-0005-0000-0000-00003E030000}"/>
    <cellStyle name="Note 4 3 2 2 2" xfId="1622" xr:uid="{0942DE3D-C691-4CBB-B196-890C21372C51}"/>
    <cellStyle name="Note 4 3 2 2 3" xfId="2450" xr:uid="{43D2E517-2D1D-4F9E-86EE-C077DEE0FB7F}"/>
    <cellStyle name="Note 4 3 2 2 4" xfId="3274" xr:uid="{69448A75-2EA1-49B9-9C6C-7AC6EB8150F6}"/>
    <cellStyle name="Note 4 3 2 2 5" xfId="4098" xr:uid="{0179D5F6-B176-4E1B-874B-D9F7AD7ABF4F}"/>
    <cellStyle name="Note 4 3 2 3" xfId="1205" xr:uid="{F608E3E2-6571-4DA4-BA33-641031E0A5B8}"/>
    <cellStyle name="Note 4 3 2 4" xfId="2033" xr:uid="{4A8456E0-AF6D-4362-B52E-67A412B3F05D}"/>
    <cellStyle name="Note 4 3 2 5" xfId="2857" xr:uid="{CEE07FFB-5415-4804-9242-9952C1DB6584}"/>
    <cellStyle name="Note 4 3 2 6" xfId="3681" xr:uid="{BB576399-A965-4276-BFD2-EB7F03042FEE}"/>
    <cellStyle name="Note 4 3 3" xfId="588" xr:uid="{00000000-0005-0000-0000-00003F030000}"/>
    <cellStyle name="Note 4 3 3 2" xfId="1414" xr:uid="{22A17B29-26BA-44CC-B05A-4476F4131C5D}"/>
    <cellStyle name="Note 4 3 3 3" xfId="2242" xr:uid="{55DFB6D3-04EE-4FA8-AD29-07FDC90B3885}"/>
    <cellStyle name="Note 4 3 3 4" xfId="3066" xr:uid="{4112DAB6-CE7F-4D16-9A29-4C2633C11E77}"/>
    <cellStyle name="Note 4 3 3 5" xfId="3890" xr:uid="{7AD8E56A-F95B-4C23-92C3-F2A5A3A168DD}"/>
    <cellStyle name="Note 4 3 4" xfId="996" xr:uid="{F14A74BA-5CF5-49E9-B97C-577E3A9E853B}"/>
    <cellStyle name="Note 4 3 5" xfId="1824" xr:uid="{1B40EDF4-495C-47C8-8441-364CD56864AC}"/>
    <cellStyle name="Note 4 3 6" xfId="2648" xr:uid="{5FAD6D95-6FE4-46E4-9655-CDA7E7AFD65C}"/>
    <cellStyle name="Note 4 3 7" xfId="3472" xr:uid="{B5638B85-90FC-43C0-A8F6-6B115D646EDB}"/>
    <cellStyle name="Note 4 4" xfId="275" xr:uid="{00000000-0005-0000-0000-000040030000}"/>
    <cellStyle name="Note 4 4 2" xfId="692" xr:uid="{00000000-0005-0000-0000-000041030000}"/>
    <cellStyle name="Note 4 4 2 2" xfId="1518" xr:uid="{EBDD566A-BD1B-4DCE-A2E2-2D01773153E7}"/>
    <cellStyle name="Note 4 4 2 3" xfId="2346" xr:uid="{855555B5-4FA7-4B24-9D3D-39DD4FB84196}"/>
    <cellStyle name="Note 4 4 2 4" xfId="3170" xr:uid="{F30668D4-8C94-4472-8F73-D9CF460031C9}"/>
    <cellStyle name="Note 4 4 2 5" xfId="3994" xr:uid="{C7356EEB-82C8-4995-AF4D-13BB94BD8625}"/>
    <cellStyle name="Note 4 4 3" xfId="1101" xr:uid="{2F96E970-FC7F-4F03-A065-04C327C119CC}"/>
    <cellStyle name="Note 4 4 4" xfId="1929" xr:uid="{5EBE3BAF-7C8C-4FAF-A150-C07791B985EE}"/>
    <cellStyle name="Note 4 4 5" xfId="2753" xr:uid="{695AED6A-2092-4AE5-B5AE-11A8E7B24FC3}"/>
    <cellStyle name="Note 4 4 6" xfId="3577" xr:uid="{635543F1-1579-4FBC-833F-10F4F8529D2F}"/>
    <cellStyle name="Note 4 5" xfId="484" xr:uid="{00000000-0005-0000-0000-000042030000}"/>
    <cellStyle name="Note 4 5 2" xfId="1310" xr:uid="{0066AAFC-78EE-4EED-BEC7-DA997FD1EBC3}"/>
    <cellStyle name="Note 4 5 3" xfId="2138" xr:uid="{C7E84710-D072-4D61-942D-B1AAC15C6D71}"/>
    <cellStyle name="Note 4 5 4" xfId="2962" xr:uid="{253D15D3-0E0A-438A-9C3A-3D698ADE210B}"/>
    <cellStyle name="Note 4 5 5" xfId="3786" xr:uid="{7D53F933-9635-4668-8F6C-36634A56E048}"/>
    <cellStyle name="Note 4 6" xfId="890" xr:uid="{3C46D09B-AD22-446E-B290-8F27F09E7C6B}"/>
    <cellStyle name="Note 4 7" xfId="1718" xr:uid="{79101682-5CFD-4529-9D3A-F83E3E73176E}"/>
    <cellStyle name="Note 4 8" xfId="2542" xr:uid="{D8098A46-DCFD-4902-9555-83A4DBBD47ED}"/>
    <cellStyle name="Note 4 9" xfId="3366" xr:uid="{FD44683E-369A-4DB0-9B16-65DE88067AA2}"/>
    <cellStyle name="Note 5" xfId="77" xr:uid="{00000000-0005-0000-0000-000043030000}"/>
    <cellStyle name="Note 5 2" xfId="183" xr:uid="{00000000-0005-0000-0000-000044030000}"/>
    <cellStyle name="Note 5 2 2" xfId="392" xr:uid="{00000000-0005-0000-0000-000045030000}"/>
    <cellStyle name="Note 5 2 2 2" xfId="809" xr:uid="{00000000-0005-0000-0000-000046030000}"/>
    <cellStyle name="Note 5 2 2 2 2" xfId="1635" xr:uid="{F8E15F15-B822-4791-BFFF-DA98EC0497D4}"/>
    <cellStyle name="Note 5 2 2 2 3" xfId="2463" xr:uid="{7C9EBC5B-E6FF-487C-9577-4C39A833B72F}"/>
    <cellStyle name="Note 5 2 2 2 4" xfId="3287" xr:uid="{BE938229-C7C2-4D1D-A1B3-B886FA38D186}"/>
    <cellStyle name="Note 5 2 2 2 5" xfId="4111" xr:uid="{2581C5E1-0798-4229-9C02-602A8C01C738}"/>
    <cellStyle name="Note 5 2 2 3" xfId="1218" xr:uid="{596AD1B7-86F2-4395-A7D9-DBBA38018350}"/>
    <cellStyle name="Note 5 2 2 4" xfId="2046" xr:uid="{364F43C2-1378-4945-84D8-EC57B721B5B7}"/>
    <cellStyle name="Note 5 2 2 5" xfId="2870" xr:uid="{67D302E4-8EDC-4551-B385-0A2883A2D357}"/>
    <cellStyle name="Note 5 2 2 6" xfId="3694" xr:uid="{5DFB84D3-86E6-435D-8A76-09E26B03B1F4}"/>
    <cellStyle name="Note 5 2 3" xfId="601" xr:uid="{00000000-0005-0000-0000-000047030000}"/>
    <cellStyle name="Note 5 2 3 2" xfId="1427" xr:uid="{61DAD628-6BAF-4468-A530-D2C71C1D967A}"/>
    <cellStyle name="Note 5 2 3 3" xfId="2255" xr:uid="{2B53AC06-0A20-4A11-9C86-669F104604AF}"/>
    <cellStyle name="Note 5 2 3 4" xfId="3079" xr:uid="{A04385D1-004F-4ECC-9E8C-CF15A3FACA78}"/>
    <cellStyle name="Note 5 2 3 5" xfId="3903" xr:uid="{8F33CCBC-36E0-492A-9A1E-FE260E290C44}"/>
    <cellStyle name="Note 5 2 4" xfId="1009" xr:uid="{7351FBA1-FA1E-4695-80D2-A46D4C4A110A}"/>
    <cellStyle name="Note 5 2 5" xfId="1837" xr:uid="{7E8A1B96-B9CB-410D-B6E8-85B7E9B1C42E}"/>
    <cellStyle name="Note 5 2 6" xfId="2661" xr:uid="{AC3E0314-0FDF-4BFC-9C04-63C860A97157}"/>
    <cellStyle name="Note 5 2 7" xfId="3485" xr:uid="{BD15240C-994B-423D-BFC8-0AAD8EA55472}"/>
    <cellStyle name="Note 5 3" xfId="288" xr:uid="{00000000-0005-0000-0000-000048030000}"/>
    <cellStyle name="Note 5 3 2" xfId="705" xr:uid="{00000000-0005-0000-0000-000049030000}"/>
    <cellStyle name="Note 5 3 2 2" xfId="1531" xr:uid="{D57B9509-502C-437C-B4EA-8666968DECAC}"/>
    <cellStyle name="Note 5 3 2 3" xfId="2359" xr:uid="{3E3520EB-9ACF-4367-B87F-BFBF7F9D63BB}"/>
    <cellStyle name="Note 5 3 2 4" xfId="3183" xr:uid="{2D156F1C-AF43-4E1D-8089-B6DC351BB676}"/>
    <cellStyle name="Note 5 3 2 5" xfId="4007" xr:uid="{861549DC-4520-4342-BA29-A1360AF0E88B}"/>
    <cellStyle name="Note 5 3 3" xfId="1114" xr:uid="{79BED39F-67AB-400B-9075-DFF9497756D4}"/>
    <cellStyle name="Note 5 3 4" xfId="1942" xr:uid="{1BEBF15F-5DD7-4FAE-9098-358DCF8AA6DF}"/>
    <cellStyle name="Note 5 3 5" xfId="2766" xr:uid="{85E033F1-99D4-4446-943E-8872C5B8E18A}"/>
    <cellStyle name="Note 5 3 6" xfId="3590" xr:uid="{C04E6597-E81C-4BE6-B017-97FAF0009757}"/>
    <cellStyle name="Note 5 4" xfId="497" xr:uid="{00000000-0005-0000-0000-00004A030000}"/>
    <cellStyle name="Note 5 4 2" xfId="1323" xr:uid="{E5A2D2C0-7FCE-4942-88CD-27F58D5FDAC0}"/>
    <cellStyle name="Note 5 4 3" xfId="2151" xr:uid="{ECAC653C-A8F1-4EBE-ADC1-4CBA28EC037E}"/>
    <cellStyle name="Note 5 4 4" xfId="2975" xr:uid="{79C17B2E-0C50-4650-972A-3CAFCEF013F0}"/>
    <cellStyle name="Note 5 4 5" xfId="3799" xr:uid="{30B6ED1C-E3E4-4B14-9543-DA6E5E7D9AA9}"/>
    <cellStyle name="Note 5 5" xfId="903" xr:uid="{09CACF40-22E7-4EA6-AA3A-CA68C374C56E}"/>
    <cellStyle name="Note 5 6" xfId="1731" xr:uid="{B947C698-05AD-4FE0-8AD1-4100F5364678}"/>
    <cellStyle name="Note 5 7" xfId="2555" xr:uid="{7454CAA0-7AD1-453C-8EAA-7B5CC1B1031C}"/>
    <cellStyle name="Note 5 8" xfId="3379" xr:uid="{F0542509-344B-4D52-AE51-D8DF87F11F9B}"/>
    <cellStyle name="Note 6" xfId="130" xr:uid="{00000000-0005-0000-0000-00004B030000}"/>
    <cellStyle name="Note 6 2" xfId="340" xr:uid="{00000000-0005-0000-0000-00004C030000}"/>
    <cellStyle name="Note 6 2 2" xfId="757" xr:uid="{00000000-0005-0000-0000-00004D030000}"/>
    <cellStyle name="Note 6 2 2 2" xfId="1583" xr:uid="{6FCC9D1B-2E3C-4ADA-B41C-4A36DE4510AE}"/>
    <cellStyle name="Note 6 2 2 3" xfId="2411" xr:uid="{87A5E119-D436-4688-B4AD-176646805FBE}"/>
    <cellStyle name="Note 6 2 2 4" xfId="3235" xr:uid="{D84836C8-012A-4711-AC52-553A79C1CE97}"/>
    <cellStyle name="Note 6 2 2 5" xfId="4059" xr:uid="{F7C50784-A969-4878-BD27-A97230362D49}"/>
    <cellStyle name="Note 6 2 3" xfId="1166" xr:uid="{7294751E-E8F1-45D4-902B-FEB3BDAD79D9}"/>
    <cellStyle name="Note 6 2 4" xfId="1994" xr:uid="{EA140E80-C7AE-471B-B8AB-0219BFC7699D}"/>
    <cellStyle name="Note 6 2 5" xfId="2818" xr:uid="{9D8E861E-BEB9-4E81-90D1-CB20985F4817}"/>
    <cellStyle name="Note 6 2 6" xfId="3642" xr:uid="{EA872585-6CC7-4002-BF6E-7920A2A60F37}"/>
    <cellStyle name="Note 6 3" xfId="549" xr:uid="{00000000-0005-0000-0000-00004E030000}"/>
    <cellStyle name="Note 6 3 2" xfId="1375" xr:uid="{0A70B96A-961A-4469-8242-0B6E38A758CB}"/>
    <cellStyle name="Note 6 3 3" xfId="2203" xr:uid="{FFE18A29-C10B-4FF3-A99A-84AA5A37E6BA}"/>
    <cellStyle name="Note 6 3 4" xfId="3027" xr:uid="{C133B24F-B5D7-4ECC-9135-47C64B9DC931}"/>
    <cellStyle name="Note 6 3 5" xfId="3851" xr:uid="{901504B5-E52F-4EEC-AEFA-84DA717F0F0F}"/>
    <cellStyle name="Note 6 4" xfId="956" xr:uid="{DB631621-C7FD-4DC4-828A-83459D3D5A71}"/>
    <cellStyle name="Note 6 5" xfId="1784" xr:uid="{6750F7FA-1B2B-4186-9CD9-60C4093C77B3}"/>
    <cellStyle name="Note 6 6" xfId="2608" xr:uid="{4B19B28C-7055-4611-89BA-D21614F228A7}"/>
    <cellStyle name="Note 6 7" xfId="3432" xr:uid="{6EEDCB30-E279-4E0C-A7E4-3CF3BB90EA5B}"/>
    <cellStyle name="Note 7" xfId="235" xr:uid="{00000000-0005-0000-0000-00004F030000}"/>
    <cellStyle name="Note 7 2" xfId="653" xr:uid="{00000000-0005-0000-0000-000050030000}"/>
    <cellStyle name="Note 7 2 2" xfId="1479" xr:uid="{57CA554F-CA3D-4E8C-ABF5-40595AA21A59}"/>
    <cellStyle name="Note 7 2 3" xfId="2307" xr:uid="{07DBFEC1-4970-45BE-91B8-01575F7C1DF1}"/>
    <cellStyle name="Note 7 2 4" xfId="3131" xr:uid="{852F086A-06EB-4186-94B0-214443248964}"/>
    <cellStyle name="Note 7 2 5" xfId="3955" xr:uid="{3FC79D22-DE62-4441-B072-9DC89BC37A0A}"/>
    <cellStyle name="Note 7 3" xfId="1061" xr:uid="{CF3A1ECE-ABC2-4AF8-840B-02ED84C24B70}"/>
    <cellStyle name="Note 7 4" xfId="1889" xr:uid="{F2E2E18A-0498-4E8B-80BD-B5F9CE9EFCA5}"/>
    <cellStyle name="Note 7 5" xfId="2713" xr:uid="{2DA0ED3B-6F3D-4F6B-A870-5A0EB20D49CB}"/>
    <cellStyle name="Note 7 6" xfId="3537" xr:uid="{47CA36A7-EC0C-47DC-A4D8-C267F1C72C8C}"/>
    <cellStyle name="Note 8" xfId="444" xr:uid="{00000000-0005-0000-0000-000051030000}"/>
    <cellStyle name="Note 8 2" xfId="1270" xr:uid="{C697502C-B113-4511-B733-12A806557827}"/>
    <cellStyle name="Note 8 3" xfId="2098" xr:uid="{5DFA3DDC-968B-4C46-B188-D605A8413CC2}"/>
    <cellStyle name="Note 8 4" xfId="2922" xr:uid="{B4C781C8-363B-4DCF-8FDE-7C6AC024ED5F}"/>
    <cellStyle name="Note 8 5" xfId="3746" xr:uid="{D87C228A-7E51-4F1B-8670-36ED2DFCA0F5}"/>
    <cellStyle name="Note 9" xfId="4164" xr:uid="{292CA1BE-ED68-471D-A744-DA96BE8DE098}"/>
    <cellStyle name="Note 9 2" xfId="4166" xr:uid="{6AACEAFD-FAA8-4E1B-8E71-67576DB9DF97}"/>
    <cellStyle name="Output" xfId="15" builtinId="21" customBuiltin="1"/>
    <cellStyle name="Percent" xfId="6" builtinId="5"/>
    <cellStyle name="Title 2" xfId="41" xr:uid="{00000000-0005-0000-0000-000068030000}"/>
    <cellStyle name="Total" xfId="21" builtinId="25" customBuiltin="1"/>
    <cellStyle name="Warning Text" xfId="19" builtinId="11" customBuiltin="1"/>
  </cellStyles>
  <dxfs count="3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font>
      <fill>
        <patternFill>
          <bgColor rgb="FFFF0000"/>
        </patternFill>
      </fill>
    </dxf>
    <dxf>
      <fill>
        <patternFill>
          <bgColor theme="9"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rgb="FFFF0000"/>
        </patternFill>
      </fill>
    </dxf>
    <dxf>
      <fill>
        <patternFill>
          <bgColor theme="9" tint="0.79998168889431442"/>
        </patternFill>
      </fill>
    </dxf>
    <dxf>
      <fill>
        <patternFill>
          <bgColor rgb="FFFF0000"/>
        </patternFill>
      </fill>
    </dxf>
    <dxf>
      <fill>
        <patternFill>
          <bgColor theme="6"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FF00"/>
      <color rgb="FF07587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65</xdr:col>
      <xdr:colOff>0</xdr:colOff>
      <xdr:row>7</xdr:row>
      <xdr:rowOff>9525</xdr:rowOff>
    </xdr:from>
    <xdr:to>
      <xdr:col>67</xdr:col>
      <xdr:colOff>19050</xdr:colOff>
      <xdr:row>8</xdr:row>
      <xdr:rowOff>187325</xdr:rowOff>
    </xdr:to>
    <xdr:sp macro="" textlink="">
      <xdr:nvSpPr>
        <xdr:cNvPr id="14337" name="CommandButton1" hidden="1">
          <a:extLst>
            <a:ext uri="{63B3BB69-23CF-44E3-9099-C40C66FF867C}">
              <a14:compatExt xmlns:a14="http://schemas.microsoft.com/office/drawing/2010/main"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65</xdr:col>
      <xdr:colOff>0</xdr:colOff>
      <xdr:row>7</xdr:row>
      <xdr:rowOff>9525</xdr:rowOff>
    </xdr:from>
    <xdr:to>
      <xdr:col>67</xdr:col>
      <xdr:colOff>19050</xdr:colOff>
      <xdr:row>8</xdr:row>
      <xdr:rowOff>187325</xdr:rowOff>
    </xdr:to>
    <xdr:sp macro="" textlink="">
      <xdr:nvSpPr>
        <xdr:cNvPr id="1440" name="CommandButton1" hidden="1">
          <a:extLst>
            <a:ext uri="{63B3BB69-23CF-44E3-9099-C40C66FF867C}">
              <a14:compatExt xmlns:a14="http://schemas.microsoft.com/office/drawing/2010/main"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701674</xdr:colOff>
      <xdr:row>18</xdr:row>
      <xdr:rowOff>73608</xdr:rowOff>
    </xdr:from>
    <xdr:to>
      <xdr:col>19</xdr:col>
      <xdr:colOff>583825</xdr:colOff>
      <xdr:row>62</xdr:row>
      <xdr:rowOff>127000</xdr:rowOff>
    </xdr:to>
    <xdr:pic>
      <xdr:nvPicPr>
        <xdr:cNvPr id="8" name="Picture 1">
          <a:extLst>
            <a:ext uri="{FF2B5EF4-FFF2-40B4-BE49-F238E27FC236}">
              <a16:creationId xmlns:a16="http://schemas.microsoft.com/office/drawing/2014/main" id="{4B03A0C7-E558-47E4-B012-BC88BE45F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3424" y="3045408"/>
          <a:ext cx="3381001" cy="731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145</xdr:row>
      <xdr:rowOff>0</xdr:rowOff>
    </xdr:from>
    <xdr:to>
      <xdr:col>24</xdr:col>
      <xdr:colOff>605532</xdr:colOff>
      <xdr:row>147</xdr:row>
      <xdr:rowOff>76150</xdr:rowOff>
    </xdr:to>
    <xdr:pic>
      <xdr:nvPicPr>
        <xdr:cNvPr id="2" name="Picture 1">
          <a:extLst>
            <a:ext uri="{FF2B5EF4-FFF2-40B4-BE49-F238E27FC236}">
              <a16:creationId xmlns:a16="http://schemas.microsoft.com/office/drawing/2014/main" id="{0EDCBEDD-A4D2-48D6-A9E6-F10BAC19F703}"/>
            </a:ext>
          </a:extLst>
        </xdr:cNvPr>
        <xdr:cNvPicPr>
          <a:picLocks noChangeAspect="1"/>
        </xdr:cNvPicPr>
      </xdr:nvPicPr>
      <xdr:blipFill>
        <a:blip xmlns:r="http://schemas.openxmlformats.org/officeDocument/2006/relationships" r:embed="rId2"/>
        <a:stretch>
          <a:fillRect/>
        </a:stretch>
      </xdr:blipFill>
      <xdr:spPr>
        <a:xfrm>
          <a:off x="12715875" y="10839450"/>
          <a:ext cx="7142857" cy="400000"/>
        </a:xfrm>
        <a:prstGeom prst="rect">
          <a:avLst/>
        </a:prstGeom>
      </xdr:spPr>
    </xdr:pic>
    <xdr:clientData/>
  </xdr:twoCellAnchor>
  <xdr:twoCellAnchor editAs="oneCell">
    <xdr:from>
      <xdr:col>10</xdr:col>
      <xdr:colOff>263525</xdr:colOff>
      <xdr:row>300</xdr:row>
      <xdr:rowOff>9524</xdr:rowOff>
    </xdr:from>
    <xdr:to>
      <xdr:col>13</xdr:col>
      <xdr:colOff>607524</xdr:colOff>
      <xdr:row>313</xdr:row>
      <xdr:rowOff>158078</xdr:rowOff>
    </xdr:to>
    <xdr:pic>
      <xdr:nvPicPr>
        <xdr:cNvPr id="12" name="Picture 11">
          <a:extLst>
            <a:ext uri="{FF2B5EF4-FFF2-40B4-BE49-F238E27FC236}">
              <a16:creationId xmlns:a16="http://schemas.microsoft.com/office/drawing/2014/main" id="{96532FE8-2847-4626-A25A-B33D701AFCA3}"/>
            </a:ext>
          </a:extLst>
        </xdr:cNvPr>
        <xdr:cNvPicPr>
          <a:picLocks noChangeAspect="1"/>
        </xdr:cNvPicPr>
      </xdr:nvPicPr>
      <xdr:blipFill>
        <a:blip xmlns:r="http://schemas.openxmlformats.org/officeDocument/2006/relationships" r:embed="rId3"/>
        <a:stretch>
          <a:fillRect/>
        </a:stretch>
      </xdr:blipFill>
      <xdr:spPr>
        <a:xfrm>
          <a:off x="9702800" y="48577499"/>
          <a:ext cx="2582374" cy="2253579"/>
        </a:xfrm>
        <a:prstGeom prst="rect">
          <a:avLst/>
        </a:prstGeom>
      </xdr:spPr>
    </xdr:pic>
    <xdr:clientData/>
  </xdr:twoCellAnchor>
  <xdr:twoCellAnchor editAs="oneCell">
    <xdr:from>
      <xdr:col>10</xdr:col>
      <xdr:colOff>77388</xdr:colOff>
      <xdr:row>319</xdr:row>
      <xdr:rowOff>88900</xdr:rowOff>
    </xdr:from>
    <xdr:to>
      <xdr:col>14</xdr:col>
      <xdr:colOff>502666</xdr:colOff>
      <xdr:row>337</xdr:row>
      <xdr:rowOff>136524</xdr:rowOff>
    </xdr:to>
    <xdr:pic>
      <xdr:nvPicPr>
        <xdr:cNvPr id="6" name="Picture 5">
          <a:extLst>
            <a:ext uri="{FF2B5EF4-FFF2-40B4-BE49-F238E27FC236}">
              <a16:creationId xmlns:a16="http://schemas.microsoft.com/office/drawing/2014/main" id="{1CB987B5-411B-9B5C-706A-47A29944BFF9}"/>
            </a:ext>
          </a:extLst>
        </xdr:cNvPr>
        <xdr:cNvPicPr>
          <a:picLocks noChangeAspect="1"/>
        </xdr:cNvPicPr>
      </xdr:nvPicPr>
      <xdr:blipFill>
        <a:blip xmlns:r="http://schemas.openxmlformats.org/officeDocument/2006/relationships" r:embed="rId4"/>
        <a:stretch>
          <a:fillRect/>
        </a:stretch>
      </xdr:blipFill>
      <xdr:spPr>
        <a:xfrm>
          <a:off x="9516663" y="51733450"/>
          <a:ext cx="3273253" cy="2962274"/>
        </a:xfrm>
        <a:prstGeom prst="rect">
          <a:avLst/>
        </a:prstGeom>
      </xdr:spPr>
    </xdr:pic>
    <xdr:clientData/>
  </xdr:twoCellAnchor>
  <xdr:twoCellAnchor editAs="oneCell">
    <xdr:from>
      <xdr:col>3</xdr:col>
      <xdr:colOff>828675</xdr:colOff>
      <xdr:row>301</xdr:row>
      <xdr:rowOff>19050</xdr:rowOff>
    </xdr:from>
    <xdr:to>
      <xdr:col>8</xdr:col>
      <xdr:colOff>275204</xdr:colOff>
      <xdr:row>314</xdr:row>
      <xdr:rowOff>19050</xdr:rowOff>
    </xdr:to>
    <xdr:pic>
      <xdr:nvPicPr>
        <xdr:cNvPr id="3" name="Picture 2">
          <a:extLst>
            <a:ext uri="{FF2B5EF4-FFF2-40B4-BE49-F238E27FC236}">
              <a16:creationId xmlns:a16="http://schemas.microsoft.com/office/drawing/2014/main" id="{544455E1-6B60-4FE2-9853-25E6A82EDFA3}"/>
            </a:ext>
          </a:extLst>
        </xdr:cNvPr>
        <xdr:cNvPicPr>
          <a:picLocks noChangeAspect="1"/>
        </xdr:cNvPicPr>
      </xdr:nvPicPr>
      <xdr:blipFill>
        <a:blip xmlns:r="http://schemas.openxmlformats.org/officeDocument/2006/relationships" r:embed="rId5"/>
        <a:stretch>
          <a:fillRect/>
        </a:stretch>
      </xdr:blipFill>
      <xdr:spPr>
        <a:xfrm>
          <a:off x="4905375" y="48748950"/>
          <a:ext cx="3475604" cy="2105025"/>
        </a:xfrm>
        <a:prstGeom prst="rect">
          <a:avLst/>
        </a:prstGeom>
      </xdr:spPr>
    </xdr:pic>
    <xdr:clientData/>
  </xdr:twoCellAnchor>
  <xdr:twoCellAnchor editAs="oneCell">
    <xdr:from>
      <xdr:col>10</xdr:col>
      <xdr:colOff>29764</xdr:colOff>
      <xdr:row>318</xdr:row>
      <xdr:rowOff>146050</xdr:rowOff>
    </xdr:from>
    <xdr:to>
      <xdr:col>15</xdr:col>
      <xdr:colOff>342901</xdr:colOff>
      <xdr:row>338</xdr:row>
      <xdr:rowOff>63401</xdr:rowOff>
    </xdr:to>
    <xdr:pic>
      <xdr:nvPicPr>
        <xdr:cNvPr id="4" name="Picture 3">
          <a:extLst>
            <a:ext uri="{FF2B5EF4-FFF2-40B4-BE49-F238E27FC236}">
              <a16:creationId xmlns:a16="http://schemas.microsoft.com/office/drawing/2014/main" id="{96F6BAE4-05FD-40C0-B039-58F44FF1885A}"/>
            </a:ext>
          </a:extLst>
        </xdr:cNvPr>
        <xdr:cNvPicPr>
          <a:picLocks noChangeAspect="1"/>
        </xdr:cNvPicPr>
      </xdr:nvPicPr>
      <xdr:blipFill>
        <a:blip xmlns:r="http://schemas.openxmlformats.org/officeDocument/2006/relationships" r:embed="rId6"/>
        <a:stretch>
          <a:fillRect/>
        </a:stretch>
      </xdr:blipFill>
      <xdr:spPr>
        <a:xfrm>
          <a:off x="9469039" y="51628675"/>
          <a:ext cx="3770712" cy="3155851"/>
        </a:xfrm>
        <a:prstGeom prst="rect">
          <a:avLst/>
        </a:prstGeom>
      </xdr:spPr>
    </xdr:pic>
    <xdr:clientData/>
  </xdr:twoCellAnchor>
  <xdr:twoCellAnchor editAs="oneCell">
    <xdr:from>
      <xdr:col>2</xdr:col>
      <xdr:colOff>742950</xdr:colOff>
      <xdr:row>319</xdr:row>
      <xdr:rowOff>0</xdr:rowOff>
    </xdr:from>
    <xdr:to>
      <xdr:col>6</xdr:col>
      <xdr:colOff>446745</xdr:colOff>
      <xdr:row>356</xdr:row>
      <xdr:rowOff>69850</xdr:rowOff>
    </xdr:to>
    <xdr:pic>
      <xdr:nvPicPr>
        <xdr:cNvPr id="13" name="Picture 12">
          <a:extLst>
            <a:ext uri="{FF2B5EF4-FFF2-40B4-BE49-F238E27FC236}">
              <a16:creationId xmlns:a16="http://schemas.microsoft.com/office/drawing/2014/main" id="{880CD28D-1751-4A23-B87D-601FED0D77D0}"/>
            </a:ext>
          </a:extLst>
        </xdr:cNvPr>
        <xdr:cNvPicPr>
          <a:picLocks noChangeAspect="1"/>
        </xdr:cNvPicPr>
      </xdr:nvPicPr>
      <xdr:blipFill>
        <a:blip xmlns:r="http://schemas.openxmlformats.org/officeDocument/2006/relationships" r:embed="rId7"/>
        <a:stretch>
          <a:fillRect/>
        </a:stretch>
      </xdr:blipFill>
      <xdr:spPr>
        <a:xfrm>
          <a:off x="4067175" y="51644550"/>
          <a:ext cx="2923245" cy="6061075"/>
        </a:xfrm>
        <a:prstGeom prst="rect">
          <a:avLst/>
        </a:prstGeom>
      </xdr:spPr>
    </xdr:pic>
    <xdr:clientData/>
  </xdr:twoCellAnchor>
  <xdr:twoCellAnchor editAs="oneCell">
    <xdr:from>
      <xdr:col>10</xdr:col>
      <xdr:colOff>209550</xdr:colOff>
      <xdr:row>300</xdr:row>
      <xdr:rowOff>47625</xdr:rowOff>
    </xdr:from>
    <xdr:to>
      <xdr:col>16</xdr:col>
      <xdr:colOff>338433</xdr:colOff>
      <xdr:row>311</xdr:row>
      <xdr:rowOff>79375</xdr:rowOff>
    </xdr:to>
    <xdr:pic>
      <xdr:nvPicPr>
        <xdr:cNvPr id="15" name="Picture 14">
          <a:extLst>
            <a:ext uri="{FF2B5EF4-FFF2-40B4-BE49-F238E27FC236}">
              <a16:creationId xmlns:a16="http://schemas.microsoft.com/office/drawing/2014/main" id="{BE7611F7-C50F-4338-96B0-CDC40409452A}"/>
            </a:ext>
          </a:extLst>
        </xdr:cNvPr>
        <xdr:cNvPicPr>
          <a:picLocks noChangeAspect="1"/>
        </xdr:cNvPicPr>
      </xdr:nvPicPr>
      <xdr:blipFill>
        <a:blip xmlns:r="http://schemas.openxmlformats.org/officeDocument/2006/relationships" r:embed="rId8"/>
        <a:stretch>
          <a:fillRect/>
        </a:stretch>
      </xdr:blipFill>
      <xdr:spPr>
        <a:xfrm>
          <a:off x="9648825" y="48615600"/>
          <a:ext cx="4196058" cy="1812925"/>
        </a:xfrm>
        <a:prstGeom prst="rect">
          <a:avLst/>
        </a:prstGeom>
      </xdr:spPr>
    </xdr:pic>
    <xdr:clientData/>
  </xdr:twoCellAnchor>
  <xdr:twoCellAnchor editAs="oneCell">
    <xdr:from>
      <xdr:col>3</xdr:col>
      <xdr:colOff>809626</xdr:colOff>
      <xdr:row>299</xdr:row>
      <xdr:rowOff>104776</xdr:rowOff>
    </xdr:from>
    <xdr:to>
      <xdr:col>8</xdr:col>
      <xdr:colOff>628651</xdr:colOff>
      <xdr:row>314</xdr:row>
      <xdr:rowOff>48609</xdr:rowOff>
    </xdr:to>
    <xdr:pic>
      <xdr:nvPicPr>
        <xdr:cNvPr id="7" name="Picture 6">
          <a:extLst>
            <a:ext uri="{FF2B5EF4-FFF2-40B4-BE49-F238E27FC236}">
              <a16:creationId xmlns:a16="http://schemas.microsoft.com/office/drawing/2014/main" id="{5B7176F9-E09F-4E35-AB5A-62225252BB49}"/>
            </a:ext>
          </a:extLst>
        </xdr:cNvPr>
        <xdr:cNvPicPr>
          <a:picLocks noChangeAspect="1"/>
        </xdr:cNvPicPr>
      </xdr:nvPicPr>
      <xdr:blipFill>
        <a:blip xmlns:r="http://schemas.openxmlformats.org/officeDocument/2006/relationships" r:embed="rId9"/>
        <a:stretch>
          <a:fillRect/>
        </a:stretch>
      </xdr:blipFill>
      <xdr:spPr>
        <a:xfrm>
          <a:off x="4886326" y="48510826"/>
          <a:ext cx="3848100" cy="2372708"/>
        </a:xfrm>
        <a:prstGeom prst="rect">
          <a:avLst/>
        </a:prstGeom>
        <a:ln>
          <a:solidFill>
            <a:schemeClr val="tx2">
              <a:lumMod val="60000"/>
              <a:lumOff val="40000"/>
            </a:schemeClr>
          </a:solidFill>
        </a:ln>
      </xdr:spPr>
    </xdr:pic>
    <xdr:clientData/>
  </xdr:twoCellAnchor>
  <xdr:twoCellAnchor editAs="oneCell">
    <xdr:from>
      <xdr:col>10</xdr:col>
      <xdr:colOff>9525</xdr:colOff>
      <xdr:row>299</xdr:row>
      <xdr:rowOff>142876</xdr:rowOff>
    </xdr:from>
    <xdr:to>
      <xdr:col>16</xdr:col>
      <xdr:colOff>485775</xdr:colOff>
      <xdr:row>314</xdr:row>
      <xdr:rowOff>74641</xdr:rowOff>
    </xdr:to>
    <xdr:pic>
      <xdr:nvPicPr>
        <xdr:cNvPr id="10" name="Picture 9">
          <a:extLst>
            <a:ext uri="{FF2B5EF4-FFF2-40B4-BE49-F238E27FC236}">
              <a16:creationId xmlns:a16="http://schemas.microsoft.com/office/drawing/2014/main" id="{F5DAC811-BDAB-4C3C-906D-2A125C59A1BB}"/>
            </a:ext>
          </a:extLst>
        </xdr:cNvPr>
        <xdr:cNvPicPr>
          <a:picLocks noChangeAspect="1"/>
        </xdr:cNvPicPr>
      </xdr:nvPicPr>
      <xdr:blipFill>
        <a:blip xmlns:r="http://schemas.openxmlformats.org/officeDocument/2006/relationships" r:embed="rId10"/>
        <a:stretch>
          <a:fillRect/>
        </a:stretch>
      </xdr:blipFill>
      <xdr:spPr>
        <a:xfrm>
          <a:off x="9448800" y="48548926"/>
          <a:ext cx="4543425" cy="2360640"/>
        </a:xfrm>
        <a:prstGeom prst="rect">
          <a:avLst/>
        </a:prstGeom>
        <a:ln>
          <a:solidFill>
            <a:schemeClr val="tx2">
              <a:lumMod val="60000"/>
              <a:lumOff val="40000"/>
            </a:schemeClr>
          </a:solidFill>
        </a:ln>
      </xdr:spPr>
    </xdr:pic>
    <xdr:clientData/>
  </xdr:twoCellAnchor>
  <xdr:twoCellAnchor editAs="oneCell">
    <xdr:from>
      <xdr:col>10</xdr:col>
      <xdr:colOff>20239</xdr:colOff>
      <xdr:row>319</xdr:row>
      <xdr:rowOff>12700</xdr:rowOff>
    </xdr:from>
    <xdr:to>
      <xdr:col>16</xdr:col>
      <xdr:colOff>133073</xdr:colOff>
      <xdr:row>338</xdr:row>
      <xdr:rowOff>41275</xdr:rowOff>
    </xdr:to>
    <xdr:pic>
      <xdr:nvPicPr>
        <xdr:cNvPr id="14" name="Picture 13">
          <a:extLst>
            <a:ext uri="{FF2B5EF4-FFF2-40B4-BE49-F238E27FC236}">
              <a16:creationId xmlns:a16="http://schemas.microsoft.com/office/drawing/2014/main" id="{2E30C2CB-96CB-4AF1-99AC-827F7331E8B2}"/>
            </a:ext>
          </a:extLst>
        </xdr:cNvPr>
        <xdr:cNvPicPr>
          <a:picLocks noChangeAspect="1"/>
        </xdr:cNvPicPr>
      </xdr:nvPicPr>
      <xdr:blipFill>
        <a:blip xmlns:r="http://schemas.openxmlformats.org/officeDocument/2006/relationships" r:embed="rId11"/>
        <a:stretch>
          <a:fillRect/>
        </a:stretch>
      </xdr:blipFill>
      <xdr:spPr>
        <a:xfrm>
          <a:off x="9459514" y="51657250"/>
          <a:ext cx="4180009" cy="3105150"/>
        </a:xfrm>
        <a:prstGeom prst="rect">
          <a:avLst/>
        </a:prstGeom>
        <a:ln>
          <a:solidFill>
            <a:schemeClr val="tx2">
              <a:lumMod val="60000"/>
              <a:lumOff val="40000"/>
            </a:schemeClr>
          </a:solidFill>
        </a:ln>
      </xdr:spPr>
    </xdr:pic>
    <xdr:clientData/>
  </xdr:twoCellAnchor>
  <xdr:twoCellAnchor editAs="oneCell">
    <xdr:from>
      <xdr:col>2</xdr:col>
      <xdr:colOff>723900</xdr:colOff>
      <xdr:row>319</xdr:row>
      <xdr:rowOff>19050</xdr:rowOff>
    </xdr:from>
    <xdr:to>
      <xdr:col>8</xdr:col>
      <xdr:colOff>295275</xdr:colOff>
      <xdr:row>356</xdr:row>
      <xdr:rowOff>46900</xdr:rowOff>
    </xdr:to>
    <xdr:pic>
      <xdr:nvPicPr>
        <xdr:cNvPr id="16" name="Picture 15">
          <a:extLst>
            <a:ext uri="{FF2B5EF4-FFF2-40B4-BE49-F238E27FC236}">
              <a16:creationId xmlns:a16="http://schemas.microsoft.com/office/drawing/2014/main" id="{0C5FDA4C-40DF-4B06-9760-8C57AFBD3621}"/>
            </a:ext>
          </a:extLst>
        </xdr:cNvPr>
        <xdr:cNvPicPr>
          <a:picLocks noChangeAspect="1"/>
        </xdr:cNvPicPr>
      </xdr:nvPicPr>
      <xdr:blipFill>
        <a:blip xmlns:r="http://schemas.openxmlformats.org/officeDocument/2006/relationships" r:embed="rId12"/>
        <a:stretch>
          <a:fillRect/>
        </a:stretch>
      </xdr:blipFill>
      <xdr:spPr>
        <a:xfrm>
          <a:off x="4048125" y="51663600"/>
          <a:ext cx="4352925" cy="6019075"/>
        </a:xfrm>
        <a:prstGeom prst="rect">
          <a:avLst/>
        </a:prstGeom>
        <a:ln>
          <a:solidFill>
            <a:schemeClr val="tx2">
              <a:lumMod val="60000"/>
              <a:lumOff val="4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552450</xdr:colOff>
      <xdr:row>22</xdr:row>
      <xdr:rowOff>19050</xdr:rowOff>
    </xdr:from>
    <xdr:to>
      <xdr:col>5</xdr:col>
      <xdr:colOff>266700</xdr:colOff>
      <xdr:row>55</xdr:row>
      <xdr:rowOff>96143</xdr:rowOff>
    </xdr:to>
    <xdr:pic>
      <xdr:nvPicPr>
        <xdr:cNvPr id="2" name="Picture 1">
          <a:extLst>
            <a:ext uri="{FF2B5EF4-FFF2-40B4-BE49-F238E27FC236}">
              <a16:creationId xmlns:a16="http://schemas.microsoft.com/office/drawing/2014/main" id="{63D9667E-EBDF-4988-ADB6-8680C84589C5}"/>
            </a:ext>
          </a:extLst>
        </xdr:cNvPr>
        <xdr:cNvPicPr>
          <a:picLocks noChangeAspect="1"/>
        </xdr:cNvPicPr>
      </xdr:nvPicPr>
      <xdr:blipFill>
        <a:blip xmlns:r="http://schemas.openxmlformats.org/officeDocument/2006/relationships" r:embed="rId1"/>
        <a:stretch>
          <a:fillRect/>
        </a:stretch>
      </xdr:blipFill>
      <xdr:spPr>
        <a:xfrm>
          <a:off x="857250" y="3009900"/>
          <a:ext cx="4495800" cy="5811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10233</xdr:colOff>
      <xdr:row>0</xdr:row>
      <xdr:rowOff>248661</xdr:rowOff>
    </xdr:from>
    <xdr:to>
      <xdr:col>14</xdr:col>
      <xdr:colOff>560566</xdr:colOff>
      <xdr:row>18</xdr:row>
      <xdr:rowOff>118037</xdr:rowOff>
    </xdr:to>
    <xdr:pic>
      <xdr:nvPicPr>
        <xdr:cNvPr id="7" name="Picture 6">
          <a:extLst>
            <a:ext uri="{FF2B5EF4-FFF2-40B4-BE49-F238E27FC236}">
              <a16:creationId xmlns:a16="http://schemas.microsoft.com/office/drawing/2014/main" id="{0AB09EC3-038B-4286-96F4-D619CCC3AE01}"/>
            </a:ext>
          </a:extLst>
        </xdr:cNvPr>
        <xdr:cNvPicPr>
          <a:picLocks noChangeAspect="1"/>
        </xdr:cNvPicPr>
      </xdr:nvPicPr>
      <xdr:blipFill>
        <a:blip xmlns:r="http://schemas.openxmlformats.org/officeDocument/2006/relationships" r:embed="rId1"/>
        <a:stretch>
          <a:fillRect/>
        </a:stretch>
      </xdr:blipFill>
      <xdr:spPr>
        <a:xfrm>
          <a:off x="7693733" y="248661"/>
          <a:ext cx="6011333" cy="3502987"/>
        </a:xfrm>
        <a:prstGeom prst="rect">
          <a:avLst/>
        </a:prstGeom>
      </xdr:spPr>
    </xdr:pic>
    <xdr:clientData/>
  </xdr:twoCellAnchor>
  <xdr:twoCellAnchor editAs="oneCell">
    <xdr:from>
      <xdr:col>3</xdr:col>
      <xdr:colOff>6352</xdr:colOff>
      <xdr:row>20</xdr:row>
      <xdr:rowOff>84119</xdr:rowOff>
    </xdr:from>
    <xdr:to>
      <xdr:col>14</xdr:col>
      <xdr:colOff>553510</xdr:colOff>
      <xdr:row>23</xdr:row>
      <xdr:rowOff>110645</xdr:rowOff>
    </xdr:to>
    <xdr:pic>
      <xdr:nvPicPr>
        <xdr:cNvPr id="8" name="Picture 7">
          <a:extLst>
            <a:ext uri="{FF2B5EF4-FFF2-40B4-BE49-F238E27FC236}">
              <a16:creationId xmlns:a16="http://schemas.microsoft.com/office/drawing/2014/main" id="{BFC81F30-D2D6-4807-A09F-F7FEDD75120A}"/>
            </a:ext>
          </a:extLst>
        </xdr:cNvPr>
        <xdr:cNvPicPr>
          <a:picLocks noChangeAspect="1"/>
        </xdr:cNvPicPr>
      </xdr:nvPicPr>
      <xdr:blipFill>
        <a:blip xmlns:r="http://schemas.openxmlformats.org/officeDocument/2006/relationships" r:embed="rId2"/>
        <a:stretch>
          <a:fillRect/>
        </a:stretch>
      </xdr:blipFill>
      <xdr:spPr>
        <a:xfrm>
          <a:off x="7365296" y="4232786"/>
          <a:ext cx="6008158" cy="5948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171450</xdr:colOff>
      <xdr:row>8</xdr:row>
      <xdr:rowOff>76200</xdr:rowOff>
    </xdr:from>
    <xdr:to>
      <xdr:col>5</xdr:col>
      <xdr:colOff>382045</xdr:colOff>
      <xdr:row>40</xdr:row>
      <xdr:rowOff>143608</xdr:rowOff>
    </xdr:to>
    <xdr:pic>
      <xdr:nvPicPr>
        <xdr:cNvPr id="2" name="Picture 1">
          <a:extLst>
            <a:ext uri="{FF2B5EF4-FFF2-40B4-BE49-F238E27FC236}">
              <a16:creationId xmlns:a16="http://schemas.microsoft.com/office/drawing/2014/main" id="{205AE866-F7A7-42AB-9F15-DBF5A1A9A33B}"/>
            </a:ext>
          </a:extLst>
        </xdr:cNvPr>
        <xdr:cNvPicPr>
          <a:picLocks noChangeAspect="1"/>
        </xdr:cNvPicPr>
      </xdr:nvPicPr>
      <xdr:blipFill>
        <a:blip xmlns:r="http://schemas.openxmlformats.org/officeDocument/2006/relationships" r:embed="rId1"/>
        <a:stretch>
          <a:fillRect/>
        </a:stretch>
      </xdr:blipFill>
      <xdr:spPr>
        <a:xfrm>
          <a:off x="2095500" y="1752600"/>
          <a:ext cx="7487695" cy="5249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nr%20Manager%20Credit\Loan%20Worksheets\Loan%20Worksheet%2014%20October%202025.xlsx" TargetMode="External"/><Relationship Id="rId1" Type="http://schemas.openxmlformats.org/officeDocument/2006/relationships/externalLinkPath" Target="file:///I:\Snr%20Manager%20Credit\Loan%20Worksheets\Loan%20Worksheet%2014%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oker"/>
      <sheetName val="Tables_Brokers"/>
      <sheetName val="Worksheet"/>
      <sheetName val="Tables"/>
      <sheetName val="DropINTable"/>
      <sheetName val="Schedule of Changes"/>
      <sheetName val="Living Expenses"/>
      <sheetName val="Funds to Complete"/>
      <sheetName val="Fees"/>
      <sheetName val="ARS223"/>
      <sheetName val="Postcodes"/>
      <sheetName val="Geographic Classification"/>
      <sheetName val="HEM"/>
      <sheetName val="Self-Employed"/>
      <sheetName val="Bridging"/>
      <sheetName val="Construction"/>
      <sheetName val="Per_child_accounting"/>
      <sheetName val="Quantile Regre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aus01.safelinks.protection.outlook.com/?url=https%3A%2F%2Fwww.qbe.com%2Flmi%2Ftools-resources%2Flocation-wizard&amp;data=05%7C02%7Cktowerton%40movebank.com.au%7Cce7fc65e31ef4d5dea3108dddf897a96%7C4bdbf541cf8b455e932c43a10d297075%7C0%7C0%7C638912504129635397%7CUnknown%7CTWFpbGZsb3d8eyJFbXB0eU1hcGkiOnRydWUsIlYiOiIwLjAuMDAwMCIsIlAiOiJXaW4zMiIsIkFOIjoiTWFpbCIsIldUIjoyfQ%3D%3D%7C0%7C%7C%7C&amp;sdata=gelLo6ts12OTCh0zLVFSB%2Bm9nR8iwihugFDocm3eipM%3D&amp;reserved=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movebank.com.au/quick-links/calculators/stamp-dut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vebank.com.au/quick-links/calculators/stamp-duty/" TargetMode="External"/><Relationship Id="rId1" Type="http://schemas.openxmlformats.org/officeDocument/2006/relationships/hyperlink" Target="https://www.paycalculator.com.au/"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6D0A-3D79-4AA4-83A5-E93E5E41A127}">
  <sheetPr codeName="Sheet8">
    <pageSetUpPr fitToPage="1"/>
  </sheetPr>
  <dimension ref="A1:AX83"/>
  <sheetViews>
    <sheetView tabSelected="1" topLeftCell="E1" zoomScale="85" zoomScaleNormal="85" workbookViewId="0">
      <selection activeCell="AP23" sqref="AP23"/>
    </sheetView>
  </sheetViews>
  <sheetFormatPr defaultColWidth="9.140625" defaultRowHeight="12"/>
  <cols>
    <col min="1" max="1" width="2.42578125" style="337" customWidth="1"/>
    <col min="2" max="2" width="16.85546875" style="151" customWidth="1"/>
    <col min="3" max="3" width="12.28515625" style="151" customWidth="1"/>
    <col min="4" max="4" width="11.85546875" style="151" customWidth="1"/>
    <col min="5" max="5" width="9.42578125" style="151" customWidth="1"/>
    <col min="6" max="6" width="15.140625" style="151" customWidth="1"/>
    <col min="7" max="7" width="10" style="151" customWidth="1"/>
    <col min="8" max="8" width="5.7109375" style="151" customWidth="1"/>
    <col min="9" max="9" width="10.7109375" style="151" customWidth="1"/>
    <col min="10" max="10" width="11.85546875" style="151" customWidth="1"/>
    <col min="11" max="11" width="9.85546875" style="151" customWidth="1"/>
    <col min="12" max="12" width="13.28515625" style="151" customWidth="1"/>
    <col min="13" max="13" width="8.28515625" style="151" customWidth="1"/>
    <col min="14" max="14" width="8" style="116" customWidth="1"/>
    <col min="15" max="15" width="14.42578125" style="116" customWidth="1"/>
    <col min="16" max="16" width="15.7109375" style="116" customWidth="1"/>
    <col min="17" max="17" width="14.85546875" style="116" customWidth="1"/>
    <col min="18" max="18" width="15.140625" style="116" customWidth="1"/>
    <col min="19" max="19" width="14.42578125" style="116" hidden="1" customWidth="1"/>
    <col min="20" max="27" width="7.5703125" style="116" hidden="1" customWidth="1"/>
    <col min="28" max="28" width="4.42578125" style="116" hidden="1" customWidth="1"/>
    <col min="29" max="30" width="7.5703125" style="116" hidden="1" customWidth="1"/>
    <col min="31" max="35" width="10.7109375" style="116" customWidth="1"/>
    <col min="36" max="38" width="9.140625" style="116" customWidth="1"/>
    <col min="39" max="39" width="10.7109375" style="116" customWidth="1"/>
    <col min="40" max="41" width="9.140625" style="116" customWidth="1"/>
    <col min="42" max="42" width="9.140625" style="183" customWidth="1"/>
    <col min="43" max="44" width="9.140625" style="116" customWidth="1"/>
    <col min="45" max="47" width="9.140625" style="151" customWidth="1"/>
    <col min="48" max="16384" width="9.140625" style="151"/>
  </cols>
  <sheetData>
    <row r="1" spans="1:49" ht="15" customHeight="1">
      <c r="B1" s="70" t="s">
        <v>0</v>
      </c>
      <c r="C1" s="182"/>
      <c r="D1" s="182"/>
      <c r="E1" s="182"/>
      <c r="F1" s="182"/>
      <c r="G1" s="233" t="s">
        <v>1663</v>
      </c>
      <c r="H1" s="715"/>
      <c r="I1" s="182"/>
      <c r="J1" s="391"/>
      <c r="K1" s="182"/>
      <c r="L1" s="71">
        <f ca="1">+NOW()</f>
        <v>45944.47451990741</v>
      </c>
      <c r="M1" s="261"/>
      <c r="N1" s="183"/>
    </row>
    <row r="2" spans="1:49" ht="5.25" customHeight="1">
      <c r="B2" s="184"/>
      <c r="C2" s="185"/>
      <c r="D2" s="185"/>
      <c r="E2" s="185"/>
      <c r="F2" s="186"/>
      <c r="G2" s="185"/>
      <c r="H2" s="185"/>
      <c r="I2" s="185"/>
      <c r="J2" s="185"/>
      <c r="K2" s="185"/>
      <c r="L2" s="187"/>
      <c r="M2" s="261"/>
      <c r="N2" s="183"/>
    </row>
    <row r="3" spans="1:49" ht="15" customHeight="1" thickBot="1">
      <c r="B3" s="184" t="s">
        <v>1</v>
      </c>
      <c r="C3" s="185"/>
      <c r="D3" s="185"/>
      <c r="E3" s="185"/>
      <c r="F3" s="186" t="s">
        <v>2</v>
      </c>
      <c r="G3" s="185"/>
      <c r="H3" s="186" t="s">
        <v>3</v>
      </c>
      <c r="I3" s="185"/>
      <c r="J3" s="185"/>
      <c r="K3" s="185"/>
      <c r="L3" s="188" t="s">
        <v>2</v>
      </c>
      <c r="M3" s="261"/>
      <c r="N3" s="183"/>
    </row>
    <row r="4" spans="1:49" ht="18" customHeight="1" thickBot="1">
      <c r="B4" s="854"/>
      <c r="C4" s="855"/>
      <c r="D4" s="856"/>
      <c r="E4" s="181"/>
      <c r="F4" s="72"/>
      <c r="G4" s="189"/>
      <c r="H4" s="854"/>
      <c r="I4" s="855"/>
      <c r="J4" s="856"/>
      <c r="K4" s="33"/>
      <c r="L4" s="73"/>
      <c r="M4" s="261"/>
      <c r="N4" s="183"/>
    </row>
    <row r="5" spans="1:49" ht="5.25" customHeight="1" thickBot="1">
      <c r="B5" s="190"/>
      <c r="C5" s="191"/>
      <c r="D5" s="191"/>
      <c r="E5" s="191"/>
      <c r="F5" s="191"/>
      <c r="G5" s="191"/>
      <c r="H5" s="191"/>
      <c r="I5" s="191"/>
      <c r="J5" s="192"/>
      <c r="K5" s="192"/>
      <c r="L5" s="193"/>
      <c r="M5" s="261"/>
      <c r="N5" s="183"/>
    </row>
    <row r="6" spans="1:49" s="195" customFormat="1" ht="18" customHeight="1">
      <c r="A6" s="338"/>
      <c r="B6" s="857" t="s">
        <v>4</v>
      </c>
      <c r="C6" s="858"/>
      <c r="D6" s="858"/>
      <c r="E6" s="858"/>
      <c r="F6" s="858"/>
      <c r="G6" s="859"/>
      <c r="H6" s="194"/>
      <c r="I6" s="857" t="s">
        <v>5</v>
      </c>
      <c r="J6" s="858"/>
      <c r="K6" s="858"/>
      <c r="L6" s="859"/>
      <c r="M6" s="386" t="s">
        <v>6</v>
      </c>
      <c r="N6" s="197"/>
      <c r="O6" s="292" t="s">
        <v>7</v>
      </c>
      <c r="P6" s="293" t="s">
        <v>8</v>
      </c>
      <c r="Q6" s="293" t="s">
        <v>9</v>
      </c>
      <c r="R6" s="294" t="s">
        <v>10</v>
      </c>
      <c r="S6" s="196"/>
      <c r="T6" s="196"/>
      <c r="U6" s="196"/>
      <c r="V6" s="196"/>
      <c r="W6" s="196"/>
      <c r="X6" s="196"/>
      <c r="Y6" s="196" t="s">
        <v>11</v>
      </c>
      <c r="Z6" s="196" t="s">
        <v>12</v>
      </c>
      <c r="AA6" s="196"/>
      <c r="AB6" s="196"/>
      <c r="AC6" s="196"/>
      <c r="AD6" s="196"/>
      <c r="AE6" s="196"/>
      <c r="AF6" s="196"/>
      <c r="AG6" s="196"/>
      <c r="AH6" s="196"/>
      <c r="AI6" s="196"/>
      <c r="AJ6" s="196"/>
      <c r="AK6" s="196"/>
      <c r="AL6" s="196"/>
      <c r="AM6" s="196"/>
      <c r="AN6" s="196"/>
      <c r="AO6" s="196"/>
      <c r="AP6" s="197"/>
      <c r="AQ6" s="196"/>
      <c r="AR6" s="196"/>
    </row>
    <row r="7" spans="1:49" ht="18" customHeight="1">
      <c r="B7" s="198" t="s">
        <v>13</v>
      </c>
      <c r="C7" s="562" t="s">
        <v>14</v>
      </c>
      <c r="D7" s="860" t="s">
        <v>15</v>
      </c>
      <c r="E7" s="860"/>
      <c r="F7" s="562" t="s">
        <v>8</v>
      </c>
      <c r="G7" s="177" t="s">
        <v>16</v>
      </c>
      <c r="H7" s="185"/>
      <c r="I7" s="852"/>
      <c r="J7" s="853"/>
      <c r="K7" s="127"/>
      <c r="L7" s="388"/>
      <c r="M7" s="387"/>
      <c r="N7" s="271">
        <f>+IF(I7="Salary Packaging",1,0)+IF(I7="Car Allowance",1,0)</f>
        <v>0</v>
      </c>
      <c r="O7" s="295" t="s">
        <v>11</v>
      </c>
      <c r="P7" s="296">
        <f>+SUM(X8:X13)+SUMIF(M7:M9,"App 1",V7:V9)+SUMIF(M12:M13,"App 1",V12:V13)</f>
        <v>0</v>
      </c>
      <c r="Q7" s="296">
        <f>+SUM(T8:T13)/12+SUMIF(M7:M9,"App 1",V7:V9)+SUMIF(M12:M13,"App 1",V12:V13)*I14</f>
        <v>0</v>
      </c>
      <c r="R7" s="419">
        <f>+SUM(X8:X13)/30.3*Q14+(Y7*N7)/30.3*Q14+(Y8*N8)/30.3*Q14+(Y9*N9)/30.3*Q14</f>
        <v>0</v>
      </c>
      <c r="T7" s="227"/>
      <c r="U7" s="227"/>
      <c r="V7" s="332">
        <f>+IF(K7="",L7*0,IF(K7="A",L7/12,IF(K7="M",L7,IF(K7="b",L7*24/12,IF(K7="F",L7*26/12,IF(K7="W",L7*52/12))))))*W7</f>
        <v>0</v>
      </c>
      <c r="W7" s="116" t="b">
        <f>+IF(L7&gt;0,IF(K7="","error",1))</f>
        <v>0</v>
      </c>
      <c r="X7" s="227"/>
      <c r="Y7" s="227">
        <f>+SUMIF(M7,"App 1",V7)</f>
        <v>0</v>
      </c>
      <c r="Z7" s="227">
        <f>+SUMIF(M7,"App 2",V7)</f>
        <v>0</v>
      </c>
      <c r="AT7" s="200"/>
      <c r="AU7" s="201"/>
    </row>
    <row r="8" spans="1:49" ht="18" customHeight="1">
      <c r="B8" s="198" t="s">
        <v>1</v>
      </c>
      <c r="C8" s="75"/>
      <c r="D8" s="843"/>
      <c r="E8" s="844"/>
      <c r="F8" s="409"/>
      <c r="G8" s="410"/>
      <c r="H8" s="185"/>
      <c r="I8" s="852"/>
      <c r="J8" s="853"/>
      <c r="K8" s="127"/>
      <c r="L8" s="388"/>
      <c r="M8" s="387"/>
      <c r="N8" s="271">
        <f t="shared" ref="N8:N9" si="0">+IF(I8="Salary Packaging",1,0)+IF(I8="Car Allowance",1,0)</f>
        <v>0</v>
      </c>
      <c r="O8" s="295" t="s">
        <v>12</v>
      </c>
      <c r="P8" s="296">
        <f>+SUM(X14:X19)+SUMIF(M7:M9,"App 2",V7:V9)+SUMIF(M12:M13,"App 2",V12:V13)</f>
        <v>0</v>
      </c>
      <c r="Q8" s="296">
        <f>+SUM(T14:T19)/12+SUMIF(M7:M9,"App 2",V7:V9)+SUMIF(M12:M13,"App 2",V12:V13)*0.8</f>
        <v>0</v>
      </c>
      <c r="R8" s="419">
        <f>+SUM(X14:X19)/30.3*Q18+(Z7*N7)/30.3*Q18+(Z8*N8)/30.3*Q18+(Z9*N9)/30.3*Q18</f>
        <v>0</v>
      </c>
      <c r="T8" s="332">
        <f>+IF(G8="",F8*0,IF(G8="A",F8,IF(G8="M",F8*12,IF(G8="B",F8*24,IF(G8="F",F8*26,IF(G8="W",F8*52))))))*U8</f>
        <v>0</v>
      </c>
      <c r="U8" s="227" t="b">
        <f>+IF(F8&gt;0,IF(G8="","error",1))</f>
        <v>0</v>
      </c>
      <c r="V8" s="332">
        <f t="shared" ref="V8:V9" si="1">+IF(K8="",L8*0,IF(K8="A",L8/12,IF(K8="M",L8,IF(K8="b",L8*24/12,IF(K8="F",L8*26/12,IF(K8="W",L8*52/12))))))*W8</f>
        <v>0</v>
      </c>
      <c r="W8" s="116" t="b">
        <f t="shared" ref="W8:W9" si="2">+IF(L8&gt;0,IF(K8="","error",1))</f>
        <v>0</v>
      </c>
      <c r="X8" s="227">
        <f>+T8/12</f>
        <v>0</v>
      </c>
      <c r="Y8" s="227">
        <f t="shared" ref="Y8:Y9" si="3">+SUMIF(M8,"App 1",V8)</f>
        <v>0</v>
      </c>
      <c r="Z8" s="227">
        <f t="shared" ref="Z8:Z9" si="4">+SUMIF(M8,"App 2",V8)</f>
        <v>0</v>
      </c>
      <c r="AT8" s="202"/>
      <c r="AU8" s="201"/>
      <c r="AV8" s="201"/>
    </row>
    <row r="9" spans="1:49" ht="18" customHeight="1">
      <c r="B9" s="3" t="s">
        <v>17</v>
      </c>
      <c r="C9" s="1">
        <v>0.8</v>
      </c>
      <c r="D9" s="847"/>
      <c r="E9" s="848"/>
      <c r="F9" s="411"/>
      <c r="G9" s="410"/>
      <c r="H9" s="185"/>
      <c r="I9" s="852"/>
      <c r="J9" s="853"/>
      <c r="K9" s="127"/>
      <c r="L9" s="388"/>
      <c r="M9" s="387"/>
      <c r="N9" s="271">
        <f t="shared" si="0"/>
        <v>0</v>
      </c>
      <c r="O9" s="297" t="s">
        <v>18</v>
      </c>
      <c r="P9" s="298">
        <f>SUM(P7:P8)</f>
        <v>0</v>
      </c>
      <c r="Q9" s="298">
        <f>SUM(Q7:Q8)</f>
        <v>0</v>
      </c>
      <c r="R9" s="299"/>
      <c r="T9" s="332">
        <f>+IF(G9="",0*F9,IF(G9="A",F9*C9,IF(G9="M",F9*12*C9,IF(G9="B",F9*24*C9,IF(G9="F",F9*26*C9,IF(G9="W",F9*52*C9))))))*U9</f>
        <v>0</v>
      </c>
      <c r="U9" s="227" t="b">
        <f t="shared" ref="U9:U19" si="5">+IF(F9&gt;0,IF(G9="","error",1))</f>
        <v>0</v>
      </c>
      <c r="V9" s="332">
        <f t="shared" si="1"/>
        <v>0</v>
      </c>
      <c r="W9" s="116" t="b">
        <f t="shared" si="2"/>
        <v>0</v>
      </c>
      <c r="X9" s="228">
        <f>+(T9/C9*100%)/12</f>
        <v>0</v>
      </c>
      <c r="Y9" s="227">
        <f t="shared" si="3"/>
        <v>0</v>
      </c>
      <c r="Z9" s="227">
        <f t="shared" si="4"/>
        <v>0</v>
      </c>
      <c r="AT9" s="200"/>
      <c r="AU9" s="201"/>
      <c r="AV9" s="201"/>
      <c r="AW9" s="201"/>
    </row>
    <row r="10" spans="1:49" ht="18" customHeight="1">
      <c r="B10" s="3" t="s">
        <v>19</v>
      </c>
      <c r="C10" s="95">
        <v>1</v>
      </c>
      <c r="D10" s="843"/>
      <c r="E10" s="844"/>
      <c r="F10" s="409"/>
      <c r="G10" s="410"/>
      <c r="H10" s="185"/>
      <c r="I10" s="809" t="s">
        <v>20</v>
      </c>
      <c r="J10" s="810"/>
      <c r="K10" s="810"/>
      <c r="L10" s="811"/>
      <c r="M10" s="263"/>
      <c r="N10" s="262"/>
      <c r="O10" s="300" t="s">
        <v>21</v>
      </c>
      <c r="P10" s="301">
        <f>+C50/12</f>
        <v>0</v>
      </c>
      <c r="Q10" s="301">
        <f>+C48</f>
        <v>0</v>
      </c>
      <c r="R10" s="302"/>
      <c r="T10" s="332">
        <f t="shared" ref="T10:T13" si="6">+IF(G10="",0*F10,IF(G10="A",F10*C10,IF(G10="M",F10*12*C10,IF(G10="B",F10*24*C10,IF(G10="F",F10*26*C10,IF(G10="W",F10*52*C10))))))*U10</f>
        <v>0</v>
      </c>
      <c r="U10" s="227" t="b">
        <f t="shared" si="5"/>
        <v>0</v>
      </c>
      <c r="V10" s="227"/>
      <c r="X10" s="228">
        <f t="shared" ref="X10:X13" si="7">+(T10/C10*100%)/12</f>
        <v>0</v>
      </c>
      <c r="Y10" s="203"/>
      <c r="Z10" s="203"/>
      <c r="AA10" s="204"/>
      <c r="AB10" s="204"/>
      <c r="AT10" s="202"/>
      <c r="AU10" s="201"/>
      <c r="AV10" s="201"/>
      <c r="AW10" s="201"/>
    </row>
    <row r="11" spans="1:49" ht="18" customHeight="1">
      <c r="B11" s="3" t="s">
        <v>22</v>
      </c>
      <c r="C11" s="1">
        <v>0.8</v>
      </c>
      <c r="D11" s="839"/>
      <c r="E11" s="840"/>
      <c r="F11" s="409"/>
      <c r="G11" s="410"/>
      <c r="H11" s="185"/>
      <c r="I11" s="205" t="s">
        <v>23</v>
      </c>
      <c r="J11" s="206" t="s">
        <v>24</v>
      </c>
      <c r="K11" s="206" t="s">
        <v>16</v>
      </c>
      <c r="L11" s="177" t="s">
        <v>25</v>
      </c>
      <c r="M11" s="386" t="s">
        <v>6</v>
      </c>
      <c r="N11" s="262"/>
      <c r="O11" s="303"/>
      <c r="P11" s="304"/>
      <c r="Q11" s="304"/>
      <c r="R11" s="302"/>
      <c r="T11" s="332">
        <f t="shared" si="6"/>
        <v>0</v>
      </c>
      <c r="U11" s="227" t="b">
        <f t="shared" si="5"/>
        <v>0</v>
      </c>
      <c r="V11" s="332"/>
      <c r="X11" s="228">
        <f t="shared" si="7"/>
        <v>0</v>
      </c>
      <c r="Y11" s="203"/>
      <c r="Z11" s="203"/>
      <c r="AA11" s="204"/>
      <c r="AB11" s="204"/>
      <c r="AT11" s="202"/>
      <c r="AU11" s="201"/>
      <c r="AV11" s="201"/>
      <c r="AW11" s="201"/>
    </row>
    <row r="12" spans="1:49" ht="18" customHeight="1">
      <c r="B12" s="3" t="s">
        <v>26</v>
      </c>
      <c r="C12" s="76">
        <v>0.8</v>
      </c>
      <c r="D12" s="839"/>
      <c r="E12" s="840"/>
      <c r="F12" s="409"/>
      <c r="G12" s="410"/>
      <c r="H12" s="185"/>
      <c r="I12" s="3" t="s">
        <v>27</v>
      </c>
      <c r="J12" s="207"/>
      <c r="K12" s="171"/>
      <c r="L12" s="74"/>
      <c r="M12" s="387"/>
      <c r="N12" s="218"/>
      <c r="O12" s="305" t="s">
        <v>11</v>
      </c>
      <c r="P12" s="306" t="s">
        <v>28</v>
      </c>
      <c r="Q12" s="306" t="s">
        <v>16</v>
      </c>
      <c r="R12" s="299"/>
      <c r="T12" s="332">
        <f t="shared" si="6"/>
        <v>0</v>
      </c>
      <c r="U12" s="227" t="b">
        <f t="shared" si="5"/>
        <v>0</v>
      </c>
      <c r="V12" s="332">
        <f t="shared" ref="V12:V13" si="8">+IF(K12="",0*J12,IF(K12="A",J12/12,IF(K12="M",J12,IF(K12="B",J12*24/12,IF(K12="F",J12*26/12,IF(K12="W",J12*52/12))))))*W12</f>
        <v>0</v>
      </c>
      <c r="W12" s="116" t="b">
        <f t="shared" ref="W12:W13" si="9">+IF(J12&gt;0,IF(K12="","error",1))</f>
        <v>0</v>
      </c>
      <c r="X12" s="228">
        <f t="shared" si="7"/>
        <v>0</v>
      </c>
      <c r="Y12" s="227">
        <f t="shared" ref="Y12:Y13" si="10">+SUMIF(M12,"App 1",V12)</f>
        <v>0</v>
      </c>
      <c r="Z12" s="227">
        <f t="shared" ref="Z12:Z13" si="11">+SUMIF(M12,"App 2",V12)</f>
        <v>0</v>
      </c>
      <c r="AA12" s="204"/>
      <c r="AB12" s="204"/>
      <c r="AT12" s="200"/>
      <c r="AU12" s="201"/>
      <c r="AV12" s="201"/>
      <c r="AW12" s="201"/>
    </row>
    <row r="13" spans="1:49" ht="18" customHeight="1">
      <c r="B13" s="11" t="s">
        <v>29</v>
      </c>
      <c r="C13" s="76">
        <v>0.5</v>
      </c>
      <c r="D13" s="841"/>
      <c r="E13" s="842"/>
      <c r="F13" s="409"/>
      <c r="G13" s="410"/>
      <c r="H13" s="185"/>
      <c r="I13" s="3" t="s">
        <v>30</v>
      </c>
      <c r="J13" s="207"/>
      <c r="K13" s="171"/>
      <c r="L13" s="74"/>
      <c r="M13" s="387"/>
      <c r="N13" s="264"/>
      <c r="O13" s="307" t="s">
        <v>31</v>
      </c>
      <c r="P13" s="308"/>
      <c r="Q13" s="425">
        <f>+G8</f>
        <v>0</v>
      </c>
      <c r="R13" s="309"/>
      <c r="T13" s="332">
        <f t="shared" si="6"/>
        <v>0</v>
      </c>
      <c r="U13" s="227" t="b">
        <f t="shared" si="5"/>
        <v>0</v>
      </c>
      <c r="V13" s="332">
        <f t="shared" si="8"/>
        <v>0</v>
      </c>
      <c r="W13" s="116" t="b">
        <f t="shared" si="9"/>
        <v>0</v>
      </c>
      <c r="X13" s="228">
        <f t="shared" si="7"/>
        <v>0</v>
      </c>
      <c r="Y13" s="227">
        <f t="shared" si="10"/>
        <v>0</v>
      </c>
      <c r="Z13" s="227">
        <f t="shared" si="11"/>
        <v>0</v>
      </c>
      <c r="AA13" s="204"/>
      <c r="AB13" s="204"/>
      <c r="AT13" s="200"/>
    </row>
    <row r="14" spans="1:49" ht="18" customHeight="1" thickBot="1">
      <c r="B14" s="198" t="s">
        <v>3</v>
      </c>
      <c r="C14" s="75"/>
      <c r="D14" s="843"/>
      <c r="E14" s="844"/>
      <c r="F14" s="409"/>
      <c r="G14" s="410"/>
      <c r="H14" s="185"/>
      <c r="I14" s="89">
        <v>0.8</v>
      </c>
      <c r="J14" s="845" t="s">
        <v>32</v>
      </c>
      <c r="K14" s="846"/>
      <c r="L14" s="2">
        <f>V14</f>
        <v>0</v>
      </c>
      <c r="M14" s="261"/>
      <c r="N14" s="265"/>
      <c r="O14" s="300" t="s">
        <v>33</v>
      </c>
      <c r="P14" s="310">
        <v>45838</v>
      </c>
      <c r="Q14" s="315">
        <f>(P13-P14)</f>
        <v>-45838</v>
      </c>
      <c r="R14" s="311"/>
      <c r="T14" s="332">
        <f>+IF(G14="",+F9*0,IF(G14="A",F14,IF(G14="M",F14*12,IF(G14="B",F14*24,IF(G14="F",F14*26,IF(G14="W",F14*52))))))*U14</f>
        <v>0</v>
      </c>
      <c r="U14" s="227" t="b">
        <f t="shared" si="5"/>
        <v>0</v>
      </c>
      <c r="V14" s="227">
        <f>SUM(V12:V13)</f>
        <v>0</v>
      </c>
      <c r="X14" s="227">
        <f>+T14/12</f>
        <v>0</v>
      </c>
      <c r="Z14" s="203"/>
      <c r="AA14" s="204"/>
      <c r="AB14" s="204"/>
      <c r="AT14" s="200"/>
    </row>
    <row r="15" spans="1:49" ht="18" customHeight="1">
      <c r="B15" s="3" t="s">
        <v>17</v>
      </c>
      <c r="C15" s="1">
        <v>0.8</v>
      </c>
      <c r="D15" s="847"/>
      <c r="E15" s="848"/>
      <c r="F15" s="411"/>
      <c r="G15" s="410"/>
      <c r="H15" s="185"/>
      <c r="I15" s="781" t="s">
        <v>34</v>
      </c>
      <c r="J15" s="782"/>
      <c r="K15" s="782"/>
      <c r="L15" s="783"/>
      <c r="M15" s="261"/>
      <c r="N15" s="266"/>
      <c r="O15" s="312" t="s">
        <v>35</v>
      </c>
      <c r="P15" s="306">
        <f>ROUNDDOWN(+IF(Q13="",0*Q14,IF(Q13="M",Q14/30.3,IF(Q13="B",Q14/15,IF(Q13="F",Q14/14+1,IF(Q13="W",Q14/7))))),0)</f>
        <v>0</v>
      </c>
      <c r="R15" s="313"/>
      <c r="T15" s="332">
        <f>+IF(G15="",0*F15,IF(G15="A",F15*C15,IF(G15="M",F15*12*C15,IF(G15="B",F15*24*C15,IF(G15="F",F15*26*C15,IF(G15="W",F15*52*C15))))))*U15</f>
        <v>0</v>
      </c>
      <c r="U15" s="227" t="b">
        <f t="shared" si="5"/>
        <v>0</v>
      </c>
      <c r="V15" s="227"/>
      <c r="X15" s="228">
        <f>+(T15/C15*100%)/12</f>
        <v>0</v>
      </c>
      <c r="Z15" s="204"/>
      <c r="AA15" s="204"/>
      <c r="AB15" s="204"/>
      <c r="AT15" s="200"/>
    </row>
    <row r="16" spans="1:49" ht="18" customHeight="1">
      <c r="B16" s="3" t="s">
        <v>19</v>
      </c>
      <c r="C16" s="95">
        <v>1</v>
      </c>
      <c r="D16" s="843"/>
      <c r="E16" s="844"/>
      <c r="F16" s="172"/>
      <c r="G16" s="173"/>
      <c r="H16" s="185"/>
      <c r="I16" s="164" t="s">
        <v>36</v>
      </c>
      <c r="J16" s="75"/>
      <c r="K16" s="424"/>
      <c r="L16" s="385" t="s">
        <v>37</v>
      </c>
      <c r="M16" s="267" t="e">
        <f>+L17+#REF!</f>
        <v>#N/A</v>
      </c>
      <c r="N16" s="183"/>
      <c r="O16" s="305" t="s">
        <v>12</v>
      </c>
      <c r="P16" s="306" t="s">
        <v>28</v>
      </c>
      <c r="Q16" s="306" t="s">
        <v>16</v>
      </c>
      <c r="R16" s="314"/>
      <c r="T16" s="332">
        <f t="shared" ref="T16:T19" si="12">+IF(G16="",0*F16,IF(G16="A",F16*C16,IF(G16="M",F16*12*C16,IF(G16="B",F16*24*C16,IF(G16="F",F16*26*C16,IF(G16="W",F16*52*C16))))))*U16</f>
        <v>0</v>
      </c>
      <c r="U16" s="227" t="b">
        <f t="shared" si="5"/>
        <v>0</v>
      </c>
      <c r="V16" s="227"/>
      <c r="X16" s="228">
        <f t="shared" ref="X16:X19" si="13">+(T16/C16*100%)/12</f>
        <v>0</v>
      </c>
      <c r="Z16" s="204"/>
      <c r="AA16" s="204"/>
      <c r="AB16" s="204"/>
      <c r="AC16" s="209"/>
      <c r="AT16" s="200"/>
    </row>
    <row r="17" spans="1:50" ht="18" customHeight="1">
      <c r="B17" s="3" t="s">
        <v>22</v>
      </c>
      <c r="C17" s="1">
        <v>0.8</v>
      </c>
      <c r="D17" s="839"/>
      <c r="E17" s="840"/>
      <c r="F17" s="172"/>
      <c r="G17" s="173"/>
      <c r="H17" s="185"/>
      <c r="I17" s="164" t="s">
        <v>38</v>
      </c>
      <c r="J17" s="75">
        <v>0</v>
      </c>
      <c r="K17" s="382" t="s">
        <v>39</v>
      </c>
      <c r="L17" s="15" t="e">
        <f>+IF(Tables_Brokers!H251&gt;0,+Tables_Brokers!H251,"ERROR")</f>
        <v>#N/A</v>
      </c>
      <c r="M17" s="267"/>
      <c r="N17" s="183"/>
      <c r="O17" s="307" t="s">
        <v>31</v>
      </c>
      <c r="P17" s="308"/>
      <c r="Q17" s="425">
        <f>+G14</f>
        <v>0</v>
      </c>
      <c r="R17" s="314"/>
      <c r="T17" s="332">
        <f t="shared" si="12"/>
        <v>0</v>
      </c>
      <c r="U17" s="227" t="b">
        <f t="shared" si="5"/>
        <v>0</v>
      </c>
      <c r="V17" s="227"/>
      <c r="X17" s="228">
        <f t="shared" si="13"/>
        <v>0</v>
      </c>
      <c r="Z17" s="204"/>
      <c r="AA17" s="204"/>
      <c r="AB17" s="204"/>
      <c r="AC17" s="209"/>
      <c r="AT17" s="200"/>
    </row>
    <row r="18" spans="1:50" ht="18" customHeight="1">
      <c r="B18" s="3" t="s">
        <v>26</v>
      </c>
      <c r="C18" s="76">
        <v>0.8</v>
      </c>
      <c r="D18" s="839"/>
      <c r="E18" s="840"/>
      <c r="F18" s="172"/>
      <c r="G18" s="173"/>
      <c r="H18" s="185"/>
      <c r="I18" s="164" t="s">
        <v>40</v>
      </c>
      <c r="J18" s="407" t="s">
        <v>270</v>
      </c>
      <c r="K18" s="561" t="s">
        <v>41</v>
      </c>
      <c r="L18" s="15">
        <f>+IF('Living Expenses'!E32=0,"ERROR",'Living Expenses'!E32)</f>
        <v>1</v>
      </c>
      <c r="M18" s="261"/>
      <c r="N18" s="183"/>
      <c r="O18" s="300" t="s">
        <v>33</v>
      </c>
      <c r="P18" s="310">
        <f>+P14</f>
        <v>45838</v>
      </c>
      <c r="Q18" s="315">
        <f>(P17-P18)</f>
        <v>-45838</v>
      </c>
      <c r="R18" s="314"/>
      <c r="T18" s="332">
        <f t="shared" si="12"/>
        <v>0</v>
      </c>
      <c r="U18" s="227" t="b">
        <f t="shared" si="5"/>
        <v>0</v>
      </c>
      <c r="V18" s="227"/>
      <c r="X18" s="228">
        <f t="shared" si="13"/>
        <v>0</v>
      </c>
      <c r="Z18" s="204"/>
      <c r="AA18" s="204"/>
      <c r="AB18" s="204"/>
      <c r="AC18" s="209"/>
    </row>
    <row r="19" spans="1:50" ht="18" customHeight="1" thickBot="1">
      <c r="B19" s="12" t="s">
        <v>29</v>
      </c>
      <c r="C19" s="77">
        <v>0.5</v>
      </c>
      <c r="D19" s="849"/>
      <c r="E19" s="850"/>
      <c r="F19" s="174"/>
      <c r="G19" s="175"/>
      <c r="H19" s="185"/>
      <c r="I19" s="383" t="s">
        <v>42</v>
      </c>
      <c r="J19" s="407" t="s">
        <v>270</v>
      </c>
      <c r="K19" s="384" t="s">
        <v>43</v>
      </c>
      <c r="L19" s="15">
        <f>'Living Expenses'!I32</f>
        <v>1</v>
      </c>
      <c r="M19" s="261"/>
      <c r="N19" s="183"/>
      <c r="O19" s="316" t="s">
        <v>35</v>
      </c>
      <c r="P19" s="317">
        <f>ROUNDDOWN(+IF(Q17="",0*Q18,IF(Q17="M",Q18/30.3,IF(Q17="B",Q18/15,IF(Q17="F",Q18/14+1,IF(Q17="W",Q18/7))))),0)</f>
        <v>0</v>
      </c>
      <c r="Q19" s="318"/>
      <c r="R19" s="319"/>
      <c r="S19" s="331" t="str">
        <f>+CONCATENATE(J20,J16,"+",J17)</f>
        <v>+0</v>
      </c>
      <c r="T19" s="332">
        <f t="shared" si="12"/>
        <v>0</v>
      </c>
      <c r="U19" s="227" t="b">
        <f t="shared" si="5"/>
        <v>0</v>
      </c>
      <c r="V19" s="227"/>
      <c r="W19" s="204"/>
      <c r="X19" s="228">
        <f t="shared" si="13"/>
        <v>0</v>
      </c>
      <c r="AC19" s="209"/>
    </row>
    <row r="20" spans="1:50" ht="18" customHeight="1">
      <c r="B20" s="149"/>
      <c r="C20" s="397"/>
      <c r="D20" s="398"/>
      <c r="E20" s="398"/>
      <c r="F20" s="399"/>
      <c r="G20" s="400"/>
      <c r="H20" s="185"/>
      <c r="I20" s="164" t="s">
        <v>44</v>
      </c>
      <c r="J20" s="851"/>
      <c r="K20" s="851"/>
      <c r="L20" s="408" t="e">
        <f>IF(L17="ERROR","ERROR",IF(L18="ERROR","ERROR",IF(L19="ERROR","ERROR",+MAX(L17:L19))))</f>
        <v>#N/A</v>
      </c>
      <c r="M20" s="261"/>
      <c r="N20" s="183"/>
      <c r="O20" s="389"/>
      <c r="P20" s="306"/>
      <c r="S20" s="331"/>
      <c r="T20" s="332"/>
      <c r="U20" s="227"/>
      <c r="V20" s="227"/>
      <c r="W20" s="204"/>
      <c r="X20" s="228"/>
      <c r="AC20" s="209"/>
    </row>
    <row r="21" spans="1:50" ht="6" customHeight="1" thickBot="1">
      <c r="B21" s="190"/>
      <c r="C21" s="185"/>
      <c r="D21" s="185"/>
      <c r="E21" s="185"/>
      <c r="F21" s="185"/>
      <c r="G21" s="185"/>
      <c r="H21" s="185"/>
      <c r="I21" s="185"/>
      <c r="J21" s="185"/>
      <c r="K21" s="185"/>
      <c r="L21" s="185"/>
      <c r="M21" s="261"/>
      <c r="N21" s="183"/>
      <c r="T21" s="227"/>
      <c r="U21" s="227"/>
      <c r="V21" s="227"/>
      <c r="AT21" s="210"/>
      <c r="AU21" s="210"/>
      <c r="AV21" s="211"/>
      <c r="AW21" s="211"/>
    </row>
    <row r="22" spans="1:50" ht="18" customHeight="1" thickBot="1">
      <c r="B22" s="836" t="s">
        <v>45</v>
      </c>
      <c r="C22" s="837"/>
      <c r="D22" s="837"/>
      <c r="E22" s="837"/>
      <c r="F22" s="837"/>
      <c r="G22" s="837"/>
      <c r="H22" s="837"/>
      <c r="I22" s="837"/>
      <c r="J22" s="837"/>
      <c r="K22" s="837"/>
      <c r="L22" s="838"/>
      <c r="M22" s="261"/>
      <c r="N22" s="183"/>
      <c r="T22" s="227">
        <f>+T8+T9/C9+T10/C10+T11/C11+T12/C12+T13/C13+T14+T15/C15+T16/C16+T17/C17+T18/C18+T19/C19</f>
        <v>0</v>
      </c>
      <c r="U22" s="227"/>
      <c r="V22" s="227">
        <f>(SUM(V7:V19)-V14)*12</f>
        <v>0</v>
      </c>
      <c r="AT22" s="210"/>
      <c r="AU22" s="210"/>
      <c r="AV22" s="211"/>
      <c r="AW22" s="211"/>
    </row>
    <row r="23" spans="1:50" ht="35.25" customHeight="1">
      <c r="B23" s="392" t="s">
        <v>46</v>
      </c>
      <c r="C23" s="393" t="s">
        <v>47</v>
      </c>
      <c r="D23" s="393" t="s">
        <v>48</v>
      </c>
      <c r="E23" s="393" t="s">
        <v>49</v>
      </c>
      <c r="F23" s="393" t="s">
        <v>50</v>
      </c>
      <c r="G23" s="393" t="s">
        <v>51</v>
      </c>
      <c r="H23" s="393" t="s">
        <v>52</v>
      </c>
      <c r="I23" s="393" t="s">
        <v>53</v>
      </c>
      <c r="J23" s="395" t="e">
        <f>+CONCATENATE("Repay pm ",T24)</f>
        <v>#N/A</v>
      </c>
      <c r="K23" s="393" t="s">
        <v>54</v>
      </c>
      <c r="L23" s="394" t="s">
        <v>55</v>
      </c>
      <c r="M23" s="9" t="s">
        <v>56</v>
      </c>
      <c r="N23" s="416" t="s">
        <v>57</v>
      </c>
      <c r="O23" s="562" t="s">
        <v>58</v>
      </c>
      <c r="S23" s="116" t="s">
        <v>59</v>
      </c>
      <c r="T23" s="214" t="e">
        <f>+IF(J19="Yes",VLOOKUP(D24,Product_NSR,5,FALSE),VLOOKUP(D24,ProductNSR,4,FALSE))</f>
        <v>#N/A</v>
      </c>
      <c r="U23" s="214"/>
      <c r="V23" s="396"/>
      <c r="AT23" s="210"/>
      <c r="AU23" s="210"/>
      <c r="AV23" s="211"/>
      <c r="AW23" s="211"/>
      <c r="AX23" s="212"/>
    </row>
    <row r="24" spans="1:50" ht="18" customHeight="1">
      <c r="A24" s="337" t="e">
        <f>IF(H24="Y","Y","")</f>
        <v>#N/A</v>
      </c>
      <c r="B24" s="3" t="s">
        <v>60</v>
      </c>
      <c r="C24" s="364"/>
      <c r="D24" s="449"/>
      <c r="E24" s="412" t="e">
        <f>+VLOOKUP(D24,Tables_Brokers!Rates_Broker,3,FALSE)</f>
        <v>#N/A</v>
      </c>
      <c r="F24" s="4" t="s">
        <v>61</v>
      </c>
      <c r="G24" s="87"/>
      <c r="H24" s="437" t="e">
        <f>+VLOOKUP(D24,Tables!A155:F268,6,FALSE)</f>
        <v>#N/A</v>
      </c>
      <c r="I24" s="5" t="e">
        <f>+IF(C24=0,0,IF(D24="Flexicredit",C24*0.05,IF(D24="Credit Card",-PMT(E24/12,36,C24,0),-PMT(E24/12,G24,C24,0))))+P24</f>
        <v>#N/A</v>
      </c>
      <c r="J24" s="5" t="e">
        <f>+IF(C24=0,0,IF(D24="Flexicredit",C24*0.05,IF(D24="Credit Card",-PMT(E24/12,36,C24,0),-PMT($T$24/12,G24,C24,0))))+P24</f>
        <v>#N/A</v>
      </c>
      <c r="K24" s="412" t="str">
        <f>+IF(L24=0," ",C24/L24)</f>
        <v xml:space="preserve"> </v>
      </c>
      <c r="L24" s="83"/>
      <c r="M24" s="328" t="e">
        <f>IF(H24="IO",+J24-I24,IF(J19="YES",J24-V24,0))</f>
        <v>#N/A</v>
      </c>
      <c r="N24" s="327"/>
      <c r="O24" s="415" t="e">
        <f>+IF(J24&gt;I24,J24/I24,"")</f>
        <v>#N/A</v>
      </c>
      <c r="P24" s="438" t="e">
        <f>+VLOOKUP(D24,Tables!A155:G268,7,FALSE)</f>
        <v>#N/A</v>
      </c>
      <c r="S24" s="116" t="e">
        <f t="shared" ref="S24:S34" si="14">+IF(F24="MOVE",IF(A24="Y",0,C24))</f>
        <v>#N/A</v>
      </c>
      <c r="T24" s="214" t="e">
        <f>+IF($J$19="","ERROR",IF($J$19="Yes",VLOOKUP($D$24,Tables_Brokers!Product_NSR,5,FALSE),VLOOKUP($D$24,Tables_Brokers!Product_NSR,4,FALSE)))</f>
        <v>#N/A</v>
      </c>
      <c r="U24" s="214" t="e">
        <f>+VLOOKUP($D$24,Product_NSR,4,FALSE)</f>
        <v>#N/A</v>
      </c>
      <c r="V24" s="401" t="e">
        <f>-PMT($U$24/12,G24,C24,0)</f>
        <v>#N/A</v>
      </c>
      <c r="W24" s="214" t="e">
        <f>+T24-E24</f>
        <v>#N/A</v>
      </c>
      <c r="AS24" s="211"/>
      <c r="AT24" s="210"/>
      <c r="AU24" s="210"/>
    </row>
    <row r="25" spans="1:50" ht="18" customHeight="1">
      <c r="A25" s="337" t="str">
        <f>IF(H25="Y","Y","")</f>
        <v/>
      </c>
      <c r="B25" s="3" t="s">
        <v>62</v>
      </c>
      <c r="C25" s="365"/>
      <c r="D25" s="81"/>
      <c r="E25" s="80"/>
      <c r="F25" s="81"/>
      <c r="G25" s="79"/>
      <c r="H25" s="128"/>
      <c r="I25" s="6">
        <f>+IF(C25=0,0,IF(H25="Y",0,IF(H25=0.5,-(PMT(E25/12,G25,C25,0)*H25),-(PMT(E25/12,G25,C25,0)))))</f>
        <v>0</v>
      </c>
      <c r="J25" s="6">
        <f>+IF(C25=0,0,+IF(H25="Y",0,IF(H25=0.5,-(PMT(T25/12,G25,C25,0)*H25),-(PMT(T25/12,G25,C25,0)))))</f>
        <v>0</v>
      </c>
      <c r="K25" s="7">
        <f>+IF(C25=0,0,C25/L25)</f>
        <v>0</v>
      </c>
      <c r="L25" s="83"/>
      <c r="M25" s="329">
        <f>+J25-I25</f>
        <v>0</v>
      </c>
      <c r="N25" s="327"/>
      <c r="O25" s="415" t="str">
        <f t="shared" ref="O25:O28" si="15">+IF(J25&gt;I25,J25/I25,"")</f>
        <v/>
      </c>
      <c r="P25" s="215"/>
      <c r="S25" s="116" t="b">
        <f t="shared" si="14"/>
        <v>0</v>
      </c>
      <c r="T25" s="214">
        <f>IF((E25+Tables_Brokers!$C$131)&lt;Tables_Brokers!$C$132,Tables_Brokers!$C$132,E25+Tables_Brokers!$C$131)</f>
        <v>5.5E-2</v>
      </c>
      <c r="U25" s="216"/>
      <c r="AN25" s="217"/>
    </row>
    <row r="26" spans="1:50" ht="18" customHeight="1">
      <c r="A26" s="337" t="str">
        <f t="shared" ref="A26:A39" si="16">IF(H26="Y","Y","")</f>
        <v/>
      </c>
      <c r="B26" s="269" t="s">
        <v>62</v>
      </c>
      <c r="C26" s="365"/>
      <c r="D26" s="81"/>
      <c r="E26" s="80"/>
      <c r="F26" s="81"/>
      <c r="G26" s="79"/>
      <c r="H26" s="128"/>
      <c r="I26" s="6">
        <f>+IF(C26=0,0,IF(H26="Y",0,IF(H26=0.5,-(PMT(E26/12,G26,C26,0)*H26),-(PMT(E26/12,G26,C26,0)))))</f>
        <v>0</v>
      </c>
      <c r="J26" s="6">
        <f>+IF(C26=0,0,+IF(H26="Y",0,IF(H26=0.5,-(PMT(T26/12,G26,C26,0)*H26),-(PMT(T26/12,G26,C26,0)))))</f>
        <v>0</v>
      </c>
      <c r="K26" s="7">
        <f>+IF(C26=0,0,C26/L26)</f>
        <v>0</v>
      </c>
      <c r="L26" s="83"/>
      <c r="M26" s="329">
        <f t="shared" ref="M26:M28" si="17">+J26-I26</f>
        <v>0</v>
      </c>
      <c r="N26" s="327"/>
      <c r="O26" s="415" t="str">
        <f t="shared" si="15"/>
        <v/>
      </c>
      <c r="P26" s="215"/>
      <c r="S26" s="116" t="b">
        <f t="shared" si="14"/>
        <v>0</v>
      </c>
      <c r="T26" s="214">
        <f>IF((E26+Tables_Brokers!$C$131)&lt;Tables_Brokers!$C$132,Tables_Brokers!$C$132,E26+Tables_Brokers!$C$131)</f>
        <v>5.5E-2</v>
      </c>
      <c r="U26" s="216"/>
    </row>
    <row r="27" spans="1:50" ht="18" customHeight="1">
      <c r="A27" s="337" t="str">
        <f t="shared" si="16"/>
        <v/>
      </c>
      <c r="B27" s="269" t="s">
        <v>63</v>
      </c>
      <c r="C27" s="365"/>
      <c r="D27" s="81"/>
      <c r="E27" s="80"/>
      <c r="F27" s="81"/>
      <c r="G27" s="79"/>
      <c r="H27" s="128"/>
      <c r="I27" s="6">
        <f>+IF(C27=0,0,IF(H27="Y",0,IF(H27=0.5,-(PMT(E27/12,G27,C27,0)*H27),-(PMT(E27/12,G27,C27,0)))))</f>
        <v>0</v>
      </c>
      <c r="J27" s="6">
        <f>+IF(C27=0,0,+IF(H27="Y",0,IF(H27=0.5,-(PMT(T27/12,G27,C27,0)*H27),-(PMT(T27/12,G27,C27,0)))))</f>
        <v>0</v>
      </c>
      <c r="K27" s="7">
        <f>+IF(C27=0,0,C27/L27)</f>
        <v>0</v>
      </c>
      <c r="L27" s="83"/>
      <c r="M27" s="329">
        <f t="shared" si="17"/>
        <v>0</v>
      </c>
      <c r="N27" s="327"/>
      <c r="O27" s="415" t="str">
        <f t="shared" si="15"/>
        <v/>
      </c>
      <c r="P27" s="215"/>
      <c r="R27" s="213"/>
      <c r="S27" s="116" t="b">
        <f t="shared" si="14"/>
        <v>0</v>
      </c>
      <c r="T27" s="214">
        <f>IF((E27+Tables_Brokers!$C$131)&lt;Tables_Brokers!$C$132,Tables_Brokers!$C$132,E27+Tables_Brokers!$C$131)</f>
        <v>5.5E-2</v>
      </c>
      <c r="U27" s="216"/>
      <c r="AN27" s="216"/>
    </row>
    <row r="28" spans="1:50" ht="18" customHeight="1">
      <c r="A28" s="337" t="str">
        <f t="shared" si="16"/>
        <v/>
      </c>
      <c r="B28" s="269" t="s">
        <v>63</v>
      </c>
      <c r="C28" s="365"/>
      <c r="D28" s="81"/>
      <c r="E28" s="80"/>
      <c r="F28" s="81"/>
      <c r="G28" s="79"/>
      <c r="H28" s="128"/>
      <c r="I28" s="6">
        <f>+IF(C28=0,0,IF(H28="Y",0,IF(H28=0.5,-(PMT(E28/12,G28,C28,0)*H28),-(PMT(E28/12,G28,C28,0)))))</f>
        <v>0</v>
      </c>
      <c r="J28" s="6">
        <f>+IF(C28=0,0,+IF(H28="Y",0,IF(H28=0.5,-(PMT(T28/12,G28,C28,0)*H28),-(PMT(T28/12,G28,C28,0)))))</f>
        <v>0</v>
      </c>
      <c r="K28" s="7">
        <f>+IF(C28=0,0,C28/L28)</f>
        <v>0</v>
      </c>
      <c r="L28" s="83"/>
      <c r="M28" s="329">
        <f t="shared" si="17"/>
        <v>0</v>
      </c>
      <c r="N28" s="327"/>
      <c r="O28" s="415" t="str">
        <f t="shared" si="15"/>
        <v/>
      </c>
      <c r="P28" s="215"/>
      <c r="R28" s="213"/>
      <c r="S28" s="116" t="b">
        <f t="shared" si="14"/>
        <v>0</v>
      </c>
      <c r="T28" s="214">
        <f>IF((E28+Tables_Brokers!$C$131)&lt;Tables_Brokers!$C$132,Tables_Brokers!$C$132,E28+Tables_Brokers!$C$131)</f>
        <v>5.5E-2</v>
      </c>
      <c r="U28" s="216"/>
    </row>
    <row r="29" spans="1:50" ht="18" customHeight="1">
      <c r="A29" s="337" t="str">
        <f t="shared" si="16"/>
        <v/>
      </c>
      <c r="B29" s="8" t="s">
        <v>64</v>
      </c>
      <c r="C29" s="365"/>
      <c r="D29" s="260"/>
      <c r="E29" s="82"/>
      <c r="F29" s="81"/>
      <c r="G29" s="96"/>
      <c r="H29" s="129"/>
      <c r="I29" s="6">
        <f>+IF(H29="Y",0,T29)</f>
        <v>0</v>
      </c>
      <c r="J29" s="6">
        <f t="shared" ref="J29:J39" si="18">+I29</f>
        <v>0</v>
      </c>
      <c r="K29" s="98"/>
      <c r="L29" s="97"/>
      <c r="N29" s="327"/>
      <c r="P29" s="215"/>
      <c r="R29" s="208"/>
      <c r="S29" s="116" t="b">
        <f t="shared" si="14"/>
        <v>0</v>
      </c>
      <c r="T29" s="199">
        <f>+IF(D29="",E29*0,IF(D29="A",E29/12,IF(D29="M",E29,IF(D29="B",E29*24/12,IF(D29="F",E29*26/12,IF(D29="W",E29*52/12))))))*U29</f>
        <v>0</v>
      </c>
      <c r="U29" s="116" t="b">
        <f t="shared" ref="U29:U34" si="19">+IF(E29&gt;0,IF(D29="","Error",1))</f>
        <v>0</v>
      </c>
      <c r="V29" s="208"/>
      <c r="W29" s="208"/>
      <c r="AC29" s="208"/>
      <c r="AD29" s="208"/>
      <c r="AE29" s="208"/>
      <c r="AF29" s="208"/>
      <c r="AG29" s="208"/>
      <c r="AH29" s="208"/>
      <c r="AI29" s="208"/>
      <c r="AJ29" s="208"/>
      <c r="AK29" s="208"/>
      <c r="AL29" s="208"/>
      <c r="AM29" s="208"/>
      <c r="AN29" s="208"/>
      <c r="AO29" s="208"/>
      <c r="AP29" s="218"/>
      <c r="AQ29" s="208"/>
      <c r="AR29" s="208"/>
    </row>
    <row r="30" spans="1:50" ht="18" customHeight="1">
      <c r="A30" s="337" t="str">
        <f t="shared" si="16"/>
        <v/>
      </c>
      <c r="B30" s="270" t="s">
        <v>64</v>
      </c>
      <c r="C30" s="365"/>
      <c r="D30" s="260"/>
      <c r="E30" s="82"/>
      <c r="F30" s="81"/>
      <c r="G30" s="96"/>
      <c r="H30" s="129"/>
      <c r="I30" s="6">
        <f>+IF(H30="Y",0,T30)</f>
        <v>0</v>
      </c>
      <c r="J30" s="6">
        <f t="shared" si="18"/>
        <v>0</v>
      </c>
      <c r="K30" s="98"/>
      <c r="L30" s="97"/>
      <c r="N30" s="327"/>
      <c r="P30" s="215"/>
      <c r="R30" s="208"/>
      <c r="S30" s="116" t="b">
        <f t="shared" si="14"/>
        <v>0</v>
      </c>
      <c r="T30" s="199">
        <f>+IF(D30="",E30*0,IF(D30="A",E30/12,IF(D30="M",E30,IF(D30="B",E30*24/12,IF(D30="F",E30*26/12,IF(D30="W",E30*52/12))))))*U30</f>
        <v>0</v>
      </c>
      <c r="U30" s="116" t="b">
        <f t="shared" si="19"/>
        <v>0</v>
      </c>
      <c r="V30" s="208"/>
      <c r="W30" s="208"/>
      <c r="AC30" s="208"/>
      <c r="AD30" s="208"/>
      <c r="AE30" s="208"/>
      <c r="AF30" s="208"/>
      <c r="AG30" s="208"/>
      <c r="AH30" s="208"/>
      <c r="AI30" s="208"/>
      <c r="AJ30" s="208"/>
      <c r="AK30" s="208"/>
      <c r="AL30" s="208"/>
      <c r="AM30" s="208"/>
      <c r="AN30" s="208"/>
      <c r="AO30" s="208"/>
      <c r="AP30" s="218"/>
      <c r="AQ30" s="208"/>
      <c r="AR30" s="208"/>
    </row>
    <row r="31" spans="1:50" ht="18" customHeight="1">
      <c r="A31" s="337" t="str">
        <f t="shared" si="16"/>
        <v/>
      </c>
      <c r="B31" s="3" t="s">
        <v>65</v>
      </c>
      <c r="C31" s="365"/>
      <c r="D31" s="260"/>
      <c r="E31" s="82"/>
      <c r="F31" s="81"/>
      <c r="G31" s="96"/>
      <c r="H31" s="129"/>
      <c r="I31" s="6">
        <f>+IF(H31="Y",0,T31)</f>
        <v>0</v>
      </c>
      <c r="J31" s="6">
        <f t="shared" si="18"/>
        <v>0</v>
      </c>
      <c r="K31" s="96"/>
      <c r="L31" s="97"/>
      <c r="N31" s="327"/>
      <c r="P31" s="215"/>
      <c r="R31" s="208"/>
      <c r="S31" s="116" t="b">
        <f t="shared" si="14"/>
        <v>0</v>
      </c>
      <c r="T31" s="199">
        <f>+IF(D31="",E31*0,IF(D31="A",E31/12,IF(D31="M",E31,IF(D31="B",E31*24/12,IF(D31="F",E31*26/12,IF(D31="W",E31*52/12))))))*U31</f>
        <v>0</v>
      </c>
      <c r="U31" s="116" t="b">
        <f t="shared" si="19"/>
        <v>0</v>
      </c>
      <c r="AC31" s="208"/>
      <c r="AD31" s="208"/>
      <c r="AE31" s="208"/>
      <c r="AF31" s="208"/>
      <c r="AG31" s="208"/>
      <c r="AH31" s="208"/>
      <c r="AI31" s="208"/>
      <c r="AJ31" s="208"/>
      <c r="AK31" s="208"/>
      <c r="AL31" s="208"/>
      <c r="AM31" s="208"/>
      <c r="AN31" s="208"/>
      <c r="AO31" s="208"/>
      <c r="AP31" s="218"/>
      <c r="AQ31" s="208"/>
      <c r="AR31" s="208"/>
    </row>
    <row r="32" spans="1:50" ht="18" customHeight="1">
      <c r="A32" s="337" t="str">
        <f t="shared" si="16"/>
        <v/>
      </c>
      <c r="B32" s="16" t="s">
        <v>66</v>
      </c>
      <c r="C32" s="93" t="str">
        <f>+CONCATENATE("Min. $",Tables_Brokers!C319," pm")</f>
        <v>Min. $500 pm</v>
      </c>
      <c r="D32" s="260"/>
      <c r="E32" s="82"/>
      <c r="F32" s="81"/>
      <c r="G32" s="99"/>
      <c r="H32" s="128"/>
      <c r="I32" s="6">
        <f>+IF(E32="",0,IF(T32&lt;Tables_Brokers!C319,Tables_Brokers!C319,IF(H32=0.5,T32*0.5,T32)))</f>
        <v>0</v>
      </c>
      <c r="J32" s="6">
        <f t="shared" si="18"/>
        <v>0</v>
      </c>
      <c r="K32" s="96"/>
      <c r="L32" s="97"/>
      <c r="N32" s="327"/>
      <c r="O32" s="115"/>
      <c r="P32" s="215"/>
      <c r="R32" s="208"/>
      <c r="T32" s="199">
        <f t="shared" ref="T32:T34" si="20">+IF(D32="",E32*0,IF(D32="A",E32/12,IF(D32="M",E32,IF(D32="B",E32*24/12,IF(D32="F",E32*26/12,IF(D32="W",E32*52/12))))))*U32</f>
        <v>0</v>
      </c>
      <c r="U32" s="116" t="b">
        <f t="shared" si="19"/>
        <v>0</v>
      </c>
      <c r="AC32" s="208"/>
      <c r="AD32" s="208"/>
      <c r="AE32" s="208"/>
      <c r="AF32" s="208"/>
      <c r="AG32" s="208"/>
      <c r="AH32" s="208"/>
      <c r="AI32" s="208"/>
      <c r="AJ32" s="208"/>
      <c r="AK32" s="208"/>
      <c r="AL32" s="208"/>
      <c r="AM32" s="208"/>
      <c r="AN32" s="208"/>
      <c r="AO32" s="208"/>
      <c r="AP32" s="218"/>
      <c r="AQ32" s="208"/>
      <c r="AR32" s="208"/>
    </row>
    <row r="33" spans="1:44" ht="18" customHeight="1">
      <c r="A33" s="337" t="str">
        <f t="shared" si="16"/>
        <v/>
      </c>
      <c r="B33" s="3" t="s">
        <v>67</v>
      </c>
      <c r="C33" s="78"/>
      <c r="D33" s="260"/>
      <c r="E33" s="82"/>
      <c r="F33" s="81"/>
      <c r="G33" s="96"/>
      <c r="H33" s="129"/>
      <c r="I33" s="6">
        <f>T33</f>
        <v>0</v>
      </c>
      <c r="J33" s="6">
        <f>+I33</f>
        <v>0</v>
      </c>
      <c r="K33" s="96"/>
      <c r="L33" s="97"/>
      <c r="N33" s="327"/>
      <c r="O33" s="115"/>
      <c r="P33" s="219"/>
      <c r="R33" s="208"/>
      <c r="S33" s="116" t="b">
        <f t="shared" si="14"/>
        <v>0</v>
      </c>
      <c r="T33" s="199">
        <f t="shared" si="20"/>
        <v>0</v>
      </c>
      <c r="U33" s="116" t="b">
        <f t="shared" si="19"/>
        <v>0</v>
      </c>
      <c r="V33" s="413"/>
      <c r="W33" s="208"/>
      <c r="AC33" s="208"/>
      <c r="AD33" s="208"/>
      <c r="AE33" s="208"/>
      <c r="AF33" s="208"/>
      <c r="AG33" s="208"/>
      <c r="AH33" s="208"/>
      <c r="AI33" s="208"/>
      <c r="AJ33" s="208"/>
      <c r="AK33" s="208"/>
      <c r="AL33" s="208"/>
      <c r="AM33" s="208"/>
      <c r="AN33" s="208"/>
      <c r="AO33" s="208"/>
      <c r="AP33" s="218"/>
      <c r="AQ33" s="208"/>
      <c r="AR33" s="208"/>
    </row>
    <row r="34" spans="1:44" ht="18" customHeight="1">
      <c r="A34" s="337" t="str">
        <f t="shared" si="16"/>
        <v/>
      </c>
      <c r="B34" s="3" t="s">
        <v>67</v>
      </c>
      <c r="C34" s="78"/>
      <c r="D34" s="260"/>
      <c r="E34" s="82"/>
      <c r="F34" s="81"/>
      <c r="G34" s="96"/>
      <c r="H34" s="129"/>
      <c r="I34" s="6">
        <f>T34</f>
        <v>0</v>
      </c>
      <c r="J34" s="6">
        <f>+I34</f>
        <v>0</v>
      </c>
      <c r="K34" s="96"/>
      <c r="L34" s="97"/>
      <c r="N34" s="327"/>
      <c r="O34" s="115"/>
      <c r="P34" s="219"/>
      <c r="R34" s="208"/>
      <c r="S34" s="116" t="b">
        <f t="shared" si="14"/>
        <v>0</v>
      </c>
      <c r="T34" s="199">
        <f t="shared" si="20"/>
        <v>0</v>
      </c>
      <c r="U34" s="116" t="b">
        <f t="shared" si="19"/>
        <v>0</v>
      </c>
      <c r="V34" s="413"/>
      <c r="W34" s="208"/>
      <c r="AC34" s="208"/>
      <c r="AD34" s="208"/>
      <c r="AE34" s="208"/>
      <c r="AF34" s="208"/>
      <c r="AG34" s="208"/>
      <c r="AH34" s="208"/>
      <c r="AI34" s="208"/>
      <c r="AJ34" s="208"/>
      <c r="AK34" s="208"/>
      <c r="AL34" s="208"/>
      <c r="AM34" s="208"/>
      <c r="AN34" s="208"/>
      <c r="AO34" s="208"/>
      <c r="AP34" s="218"/>
      <c r="AQ34" s="208"/>
      <c r="AR34" s="208"/>
    </row>
    <row r="35" spans="1:44" ht="18" customHeight="1">
      <c r="A35" s="337" t="str">
        <f t="shared" si="16"/>
        <v/>
      </c>
      <c r="B35" s="269" t="s">
        <v>68</v>
      </c>
      <c r="C35" s="78"/>
      <c r="D35" s="161">
        <f>+IF(B35="overdraft",5%,3.8%)</f>
        <v>0.05</v>
      </c>
      <c r="E35" s="82"/>
      <c r="F35" s="81"/>
      <c r="G35" s="96"/>
      <c r="H35" s="129"/>
      <c r="I35" s="6">
        <f>+IF(H35="Y",0,E35*D35)</f>
        <v>0</v>
      </c>
      <c r="J35" s="6">
        <f t="shared" si="18"/>
        <v>0</v>
      </c>
      <c r="K35" s="96"/>
      <c r="L35" s="97"/>
      <c r="N35" s="327"/>
      <c r="P35" s="219"/>
      <c r="R35" s="208"/>
      <c r="S35" s="116" t="b">
        <f>+IF(F35="MOVE",IF(A35="Y",0,E35))</f>
        <v>0</v>
      </c>
      <c r="W35" s="208"/>
      <c r="AC35" s="208"/>
      <c r="AD35" s="208"/>
      <c r="AE35" s="208"/>
      <c r="AF35" s="208"/>
      <c r="AG35" s="208"/>
      <c r="AH35" s="208"/>
      <c r="AI35" s="208"/>
      <c r="AJ35" s="208"/>
      <c r="AK35" s="208"/>
      <c r="AL35" s="208"/>
      <c r="AM35" s="208"/>
      <c r="AN35" s="208"/>
      <c r="AO35" s="208"/>
      <c r="AP35" s="218"/>
      <c r="AQ35" s="208"/>
      <c r="AR35" s="208"/>
    </row>
    <row r="36" spans="1:44" ht="18" customHeight="1">
      <c r="A36" s="337" t="str">
        <f t="shared" si="16"/>
        <v/>
      </c>
      <c r="B36" s="3" t="s">
        <v>69</v>
      </c>
      <c r="C36" s="78"/>
      <c r="D36" s="161">
        <v>3.7999999999999999E-2</v>
      </c>
      <c r="E36" s="82"/>
      <c r="F36" s="81"/>
      <c r="G36" s="96"/>
      <c r="H36" s="129"/>
      <c r="I36" s="6">
        <f>+IF(H36="Y",0,IF(AND(H36="Exc",C36=0),0,D36*E36))</f>
        <v>0</v>
      </c>
      <c r="J36" s="6">
        <f t="shared" si="18"/>
        <v>0</v>
      </c>
      <c r="K36" s="96"/>
      <c r="L36" s="97"/>
      <c r="M36" s="220"/>
      <c r="N36" s="327"/>
      <c r="O36" s="221"/>
      <c r="P36" s="219"/>
      <c r="Q36" s="221"/>
      <c r="R36" s="221"/>
      <c r="S36" s="116" t="b">
        <f t="shared" ref="S36:S39" si="21">+IF(F36="MOVE",IF(A36="Y",0,E36))</f>
        <v>0</v>
      </c>
      <c r="T36" s="221"/>
      <c r="U36" s="221"/>
      <c r="V36" s="221"/>
      <c r="W36" s="221"/>
      <c r="AC36" s="208"/>
      <c r="AD36" s="208"/>
      <c r="AE36" s="208"/>
      <c r="AF36" s="208"/>
      <c r="AG36" s="208"/>
      <c r="AH36" s="208"/>
      <c r="AI36" s="208"/>
      <c r="AJ36" s="208"/>
      <c r="AK36" s="208"/>
      <c r="AL36" s="208"/>
      <c r="AM36" s="208"/>
      <c r="AN36" s="208"/>
      <c r="AO36" s="208"/>
      <c r="AP36" s="218"/>
      <c r="AQ36" s="208"/>
      <c r="AR36" s="208"/>
    </row>
    <row r="37" spans="1:44" ht="18" customHeight="1">
      <c r="A37" s="337" t="str">
        <f t="shared" si="16"/>
        <v/>
      </c>
      <c r="B37" s="3" t="s">
        <v>69</v>
      </c>
      <c r="C37" s="78"/>
      <c r="D37" s="161">
        <v>3.7999999999999999E-2</v>
      </c>
      <c r="E37" s="82"/>
      <c r="F37" s="81"/>
      <c r="G37" s="96"/>
      <c r="H37" s="129"/>
      <c r="I37" s="6">
        <f>+IF(H37="Y",0,IF(AND(H37="Exc",C37=0),0,D37*E37))</f>
        <v>0</v>
      </c>
      <c r="J37" s="6">
        <f t="shared" si="18"/>
        <v>0</v>
      </c>
      <c r="K37" s="96"/>
      <c r="L37" s="97"/>
      <c r="M37" s="220"/>
      <c r="N37" s="327"/>
      <c r="O37" s="221"/>
      <c r="P37" s="219"/>
      <c r="Q37" s="221"/>
      <c r="R37" s="221"/>
      <c r="S37" s="116" t="b">
        <f t="shared" si="21"/>
        <v>0</v>
      </c>
      <c r="T37" s="221"/>
      <c r="U37" s="221"/>
      <c r="V37" s="221"/>
      <c r="W37" s="221"/>
      <c r="AC37" s="208"/>
      <c r="AD37" s="208"/>
      <c r="AE37" s="208"/>
      <c r="AF37" s="208"/>
      <c r="AG37" s="208"/>
      <c r="AH37" s="208"/>
      <c r="AI37" s="208"/>
      <c r="AJ37" s="208"/>
      <c r="AK37" s="208"/>
      <c r="AL37" s="208"/>
      <c r="AM37" s="208"/>
      <c r="AN37" s="208"/>
      <c r="AO37" s="208"/>
      <c r="AP37" s="218"/>
      <c r="AQ37" s="208"/>
      <c r="AR37" s="208"/>
    </row>
    <row r="38" spans="1:44" ht="18" customHeight="1">
      <c r="A38" s="337" t="str">
        <f t="shared" si="16"/>
        <v/>
      </c>
      <c r="B38" s="3" t="s">
        <v>69</v>
      </c>
      <c r="C38" s="78"/>
      <c r="D38" s="161">
        <v>3.7999999999999999E-2</v>
      </c>
      <c r="E38" s="82"/>
      <c r="F38" s="81"/>
      <c r="G38" s="96"/>
      <c r="H38" s="129"/>
      <c r="I38" s="6">
        <f>+IF(H38="Y",0,IF(AND(H38="Exc",C38=0),0,D38*E38))</f>
        <v>0</v>
      </c>
      <c r="J38" s="6">
        <f t="shared" si="18"/>
        <v>0</v>
      </c>
      <c r="K38" s="96"/>
      <c r="L38" s="97"/>
      <c r="M38" s="220"/>
      <c r="N38" s="327"/>
      <c r="O38" s="221"/>
      <c r="P38" s="219"/>
      <c r="Q38" s="221"/>
      <c r="R38" s="221"/>
      <c r="S38" s="116" t="b">
        <f t="shared" si="21"/>
        <v>0</v>
      </c>
      <c r="U38" s="221"/>
      <c r="V38" s="221"/>
      <c r="W38" s="221"/>
      <c r="AC38" s="208"/>
      <c r="AD38" s="208"/>
      <c r="AE38" s="208"/>
      <c r="AF38" s="208"/>
      <c r="AG38" s="208"/>
      <c r="AH38" s="208"/>
      <c r="AI38" s="208"/>
      <c r="AJ38" s="208"/>
      <c r="AK38" s="208"/>
      <c r="AL38" s="208"/>
      <c r="AM38" s="208"/>
      <c r="AN38" s="208"/>
      <c r="AO38" s="208"/>
      <c r="AP38" s="218"/>
      <c r="AQ38" s="208"/>
      <c r="AR38" s="208"/>
    </row>
    <row r="39" spans="1:44" ht="18" customHeight="1">
      <c r="A39" s="337" t="str">
        <f t="shared" si="16"/>
        <v/>
      </c>
      <c r="B39" s="88" t="s">
        <v>69</v>
      </c>
      <c r="C39" s="78"/>
      <c r="D39" s="161">
        <v>3.7999999999999999E-2</v>
      </c>
      <c r="E39" s="82"/>
      <c r="F39" s="81"/>
      <c r="G39" s="96"/>
      <c r="H39" s="129"/>
      <c r="I39" s="6">
        <f>+IF(H39="Y",0,IF(AND(H39="Exc",C39=0),0,D39*E39))</f>
        <v>0</v>
      </c>
      <c r="J39" s="6">
        <f t="shared" si="18"/>
        <v>0</v>
      </c>
      <c r="K39" s="96"/>
      <c r="L39" s="97"/>
      <c r="M39" s="220"/>
      <c r="N39" s="327"/>
      <c r="O39" s="221"/>
      <c r="P39" s="215"/>
      <c r="Q39" s="221"/>
      <c r="R39" s="221"/>
      <c r="S39" s="116" t="b">
        <f t="shared" si="21"/>
        <v>0</v>
      </c>
      <c r="U39" s="222"/>
      <c r="V39" s="221"/>
      <c r="W39" s="221"/>
      <c r="AC39" s="208"/>
      <c r="AD39" s="208"/>
      <c r="AE39" s="208"/>
      <c r="AF39" s="208"/>
      <c r="AG39" s="208"/>
      <c r="AH39" s="208"/>
      <c r="AI39" s="208"/>
      <c r="AJ39" s="208"/>
      <c r="AK39" s="208"/>
      <c r="AL39" s="208"/>
      <c r="AM39" s="208"/>
      <c r="AN39" s="208"/>
      <c r="AO39" s="208"/>
      <c r="AP39" s="218"/>
      <c r="AQ39" s="208"/>
      <c r="AR39" s="208"/>
    </row>
    <row r="40" spans="1:44" ht="17.25" customHeight="1" thickBot="1">
      <c r="B40" s="253" t="s">
        <v>70</v>
      </c>
      <c r="C40" s="254">
        <f>SUMIF(A24:A39,"",C24:C39)</f>
        <v>0</v>
      </c>
      <c r="D40" s="824" t="s">
        <v>71</v>
      </c>
      <c r="E40" s="825"/>
      <c r="F40" s="255" t="e">
        <f>+S40</f>
        <v>#N/A</v>
      </c>
      <c r="G40" s="826" t="s">
        <v>72</v>
      </c>
      <c r="H40" s="827"/>
      <c r="I40" s="256" t="e">
        <f>SUM(+SUM(I24:I39))</f>
        <v>#N/A</v>
      </c>
      <c r="J40" s="257" t="e">
        <f>SUM(+SUM(J24:J39))</f>
        <v>#N/A</v>
      </c>
      <c r="K40" s="259" t="s">
        <v>73</v>
      </c>
      <c r="L40" s="258">
        <f>+SUMIF(F24:F28,"MOVE",L24:L28)</f>
        <v>0</v>
      </c>
      <c r="M40" s="223"/>
      <c r="N40" s="183"/>
      <c r="O40" s="183"/>
      <c r="P40" s="272"/>
      <c r="Q40" s="183"/>
      <c r="R40" s="218"/>
      <c r="S40" s="116" t="e">
        <f>SUM(S24:S39)</f>
        <v>#N/A</v>
      </c>
      <c r="T40" s="183" t="s">
        <v>74</v>
      </c>
      <c r="U40" s="183" t="s">
        <v>75</v>
      </c>
      <c r="V40" s="218"/>
      <c r="W40" s="218"/>
      <c r="X40" s="183"/>
      <c r="Y40" s="183"/>
      <c r="Z40" s="183"/>
      <c r="AA40" s="183"/>
      <c r="AB40" s="183"/>
      <c r="AC40" s="218"/>
      <c r="AD40" s="218"/>
      <c r="AE40" s="218"/>
      <c r="AF40" s="218"/>
      <c r="AG40" s="218"/>
      <c r="AH40" s="218"/>
      <c r="AI40" s="218"/>
      <c r="AJ40" s="218"/>
      <c r="AK40" s="218"/>
      <c r="AL40" s="218"/>
      <c r="AM40" s="218"/>
      <c r="AN40" s="218"/>
      <c r="AO40" s="218"/>
      <c r="AP40" s="224"/>
      <c r="AQ40" s="218"/>
      <c r="AR40" s="208"/>
    </row>
    <row r="41" spans="1:44" ht="5.25" customHeight="1" thickBot="1">
      <c r="B41" s="190"/>
      <c r="C41" s="185"/>
      <c r="D41" s="185"/>
      <c r="E41" s="185"/>
      <c r="F41" s="185"/>
      <c r="G41" s="185"/>
      <c r="H41" s="185"/>
      <c r="I41" s="185"/>
      <c r="J41" s="185"/>
      <c r="K41" s="185"/>
      <c r="L41" s="246"/>
      <c r="N41" s="183"/>
      <c r="O41" s="274" t="s">
        <v>76</v>
      </c>
      <c r="P41" s="272"/>
      <c r="Q41" s="183"/>
      <c r="R41" s="218"/>
      <c r="S41" s="183"/>
      <c r="T41" s="183"/>
      <c r="U41" s="183"/>
      <c r="V41" s="183"/>
      <c r="W41" s="183"/>
      <c r="X41" s="183"/>
      <c r="Y41" s="183"/>
      <c r="Z41" s="183"/>
      <c r="AA41" s="183"/>
      <c r="AB41" s="183"/>
      <c r="AC41" s="218"/>
      <c r="AD41" s="218"/>
      <c r="AE41" s="218"/>
      <c r="AF41" s="218"/>
      <c r="AG41" s="218"/>
      <c r="AH41" s="218"/>
      <c r="AI41" s="218"/>
      <c r="AJ41" s="218"/>
      <c r="AK41" s="218"/>
      <c r="AL41" s="218"/>
      <c r="AM41" s="218"/>
      <c r="AN41" s="218"/>
      <c r="AO41" s="218"/>
      <c r="AP41" s="218"/>
      <c r="AQ41" s="218"/>
      <c r="AR41" s="208"/>
    </row>
    <row r="42" spans="1:44" ht="18" customHeight="1">
      <c r="B42" s="781" t="s">
        <v>77</v>
      </c>
      <c r="C42" s="799"/>
      <c r="D42" s="799"/>
      <c r="E42" s="799"/>
      <c r="F42" s="799"/>
      <c r="G42" s="799"/>
      <c r="H42" s="799"/>
      <c r="I42" s="799"/>
      <c r="J42" s="799"/>
      <c r="K42" s="799"/>
      <c r="L42" s="800"/>
      <c r="N42" s="183"/>
      <c r="O42" s="711"/>
      <c r="P42" s="272"/>
      <c r="Q42" s="276"/>
      <c r="R42" s="276"/>
      <c r="S42" s="276"/>
      <c r="T42" s="276">
        <f>+Tables_Brokers!B280</f>
        <v>27222</v>
      </c>
      <c r="U42" s="183">
        <f>+Tables_Brokers!B281</f>
        <v>34027</v>
      </c>
      <c r="V42" s="183" t="s">
        <v>78</v>
      </c>
      <c r="W42" s="183"/>
      <c r="X42" s="183"/>
      <c r="Y42" s="183"/>
      <c r="Z42" s="183"/>
      <c r="AA42" s="183"/>
      <c r="AB42" s="218"/>
      <c r="AC42" s="218"/>
      <c r="AD42" s="218"/>
      <c r="AE42" s="218"/>
      <c r="AF42" s="218"/>
      <c r="AG42" s="218"/>
      <c r="AH42" s="218"/>
      <c r="AI42" s="218"/>
      <c r="AJ42" s="218"/>
      <c r="AK42" s="218"/>
      <c r="AL42" s="218"/>
      <c r="AM42" s="218"/>
      <c r="AN42" s="218"/>
      <c r="AO42" s="218"/>
      <c r="AP42" s="218"/>
      <c r="AQ42" s="218"/>
      <c r="AR42" s="208"/>
    </row>
    <row r="43" spans="1:44" ht="32.25" customHeight="1">
      <c r="B43" s="483" t="s">
        <v>79</v>
      </c>
      <c r="C43" s="481" t="s">
        <v>80</v>
      </c>
      <c r="D43" s="481" t="s">
        <v>81</v>
      </c>
      <c r="E43" s="481" t="s">
        <v>82</v>
      </c>
      <c r="F43" s="481" t="s">
        <v>83</v>
      </c>
      <c r="G43" s="481" t="s">
        <v>84</v>
      </c>
      <c r="H43" s="481" t="s">
        <v>85</v>
      </c>
      <c r="I43" s="481" t="s">
        <v>86</v>
      </c>
      <c r="J43" s="481" t="s">
        <v>87</v>
      </c>
      <c r="K43" s="481" t="s">
        <v>88</v>
      </c>
      <c r="L43" s="482" t="s">
        <v>89</v>
      </c>
      <c r="N43" s="218"/>
      <c r="O43" s="712"/>
      <c r="P43" s="272"/>
      <c r="Q43" s="276"/>
      <c r="R43" s="276"/>
      <c r="S43" s="276"/>
      <c r="T43" s="276" t="s">
        <v>90</v>
      </c>
      <c r="U43" s="276" t="s">
        <v>91</v>
      </c>
      <c r="V43" s="183" t="s">
        <v>92</v>
      </c>
      <c r="W43" s="278" t="s">
        <v>93</v>
      </c>
      <c r="X43" s="183" t="s">
        <v>8</v>
      </c>
      <c r="Y43" s="279">
        <f>+Y44/52</f>
        <v>0</v>
      </c>
      <c r="Z43" s="183" t="s">
        <v>94</v>
      </c>
      <c r="AA43" s="183" t="s">
        <v>95</v>
      </c>
      <c r="AB43" s="280" t="s">
        <v>96</v>
      </c>
      <c r="AC43" s="280" t="s">
        <v>97</v>
      </c>
      <c r="AD43" s="280" t="s">
        <v>98</v>
      </c>
      <c r="AE43" s="218"/>
      <c r="AF43" s="218"/>
      <c r="AG43" s="218"/>
      <c r="AH43" s="280"/>
      <c r="AI43" s="280"/>
      <c r="AJ43" s="218"/>
      <c r="AK43" s="218"/>
      <c r="AL43" s="218"/>
      <c r="AM43" s="218"/>
      <c r="AN43" s="218"/>
      <c r="AO43" s="218"/>
      <c r="AP43" s="218"/>
      <c r="AQ43" s="218"/>
      <c r="AR43" s="208"/>
    </row>
    <row r="44" spans="1:44" ht="18" customHeight="1">
      <c r="B44" s="3" t="s">
        <v>99</v>
      </c>
      <c r="C44" s="13">
        <f>+SUM(T8:T13)/12</f>
        <v>0</v>
      </c>
      <c r="D44" s="14">
        <f>+T44/12</f>
        <v>0</v>
      </c>
      <c r="E44" s="15">
        <f>+C44-D44</f>
        <v>0</v>
      </c>
      <c r="F44" s="178"/>
      <c r="G44" s="229"/>
      <c r="H44" s="179">
        <v>2</v>
      </c>
      <c r="I44" s="178"/>
      <c r="J44" s="178"/>
      <c r="K44" s="178"/>
      <c r="L44" s="230"/>
      <c r="N44" s="183"/>
      <c r="O44" s="712"/>
      <c r="P44" s="713"/>
      <c r="Q44" s="276"/>
      <c r="R44" s="276"/>
      <c r="S44" s="276"/>
      <c r="T44" s="281">
        <f>+U44+V44+W44</f>
        <v>0</v>
      </c>
      <c r="U44" s="276">
        <f>+IF(X$44&lt;=$T$42,0,IF(X$44&lt;=$U$42,((X44-$T$42)*Tables_Brokers!$B$278),X44*Tables_Brokers!$B$278))</f>
        <v>0</v>
      </c>
      <c r="V44" s="282">
        <f>+Y44</f>
        <v>0</v>
      </c>
      <c r="W44" s="282">
        <f>+Tables_Brokers!D283</f>
        <v>0</v>
      </c>
      <c r="X44" s="183">
        <f>+C44*12</f>
        <v>0</v>
      </c>
      <c r="Y44" s="183">
        <f>+SUM(Z44:AD44)</f>
        <v>0</v>
      </c>
      <c r="Z44" s="183">
        <f>+IF(X44&gt;=Tables_Brokers!$A$275,((X44-Tables_Brokers!$A$275)*Tables_Brokers!$B$276)+Tables_Brokers!$C$275,0)</f>
        <v>0</v>
      </c>
      <c r="AA44" s="183" t="b">
        <f>+IF(Z44=0,IF(X44&gt;=Tables_Brokers!$A$274,(X44-Tables_Brokers!$A$274)*Tables_Brokers!$B$275+Tables_Brokers!$C$274),0)</f>
        <v>0</v>
      </c>
      <c r="AB44" s="218" t="b">
        <f>+IF(SUM(Z44:AA44)=0,IF(X44&gt;=Tables_Brokers!$A$273,(X44-Tables_Brokers!$A$273)*Tables_Brokers!$B$274+Tables_Brokers!$C$273),0)</f>
        <v>0</v>
      </c>
      <c r="AC44" s="218" t="b">
        <f>+IF(SUM(Z44:AB44)=0,IF(X44&gt;=Tables_Brokers!$A$272,(X44-Tables_Brokers!$A$272)*Tables_Brokers!$B$273+Tables_Brokers!$C$272),0)</f>
        <v>0</v>
      </c>
      <c r="AD44" s="218">
        <f>+IF(SUM(Z44:AC44)=0,IF(X44&lt;=Tables_Brokers!$A$272,0,0))</f>
        <v>0</v>
      </c>
      <c r="AE44" s="218"/>
      <c r="AF44" s="218"/>
      <c r="AG44" s="218"/>
      <c r="AH44" s="218"/>
      <c r="AI44" s="218"/>
      <c r="AJ44" s="183"/>
      <c r="AK44" s="218"/>
      <c r="AL44" s="218"/>
      <c r="AM44" s="218"/>
      <c r="AN44" s="218"/>
      <c r="AO44" s="218"/>
      <c r="AP44" s="218"/>
      <c r="AQ44" s="218"/>
      <c r="AR44" s="208"/>
    </row>
    <row r="45" spans="1:44" ht="18" customHeight="1">
      <c r="B45" s="3" t="s">
        <v>100</v>
      </c>
      <c r="C45" s="13">
        <f>+SUM(T14:T19)/12</f>
        <v>0</v>
      </c>
      <c r="D45" s="14">
        <f>+T45/12</f>
        <v>0</v>
      </c>
      <c r="E45" s="15">
        <f>+C45-D45</f>
        <v>0</v>
      </c>
      <c r="F45" s="178"/>
      <c r="G45" s="229"/>
      <c r="H45" s="179">
        <v>2</v>
      </c>
      <c r="I45" s="178"/>
      <c r="J45" s="178"/>
      <c r="K45" s="178"/>
      <c r="L45" s="230"/>
      <c r="N45" s="183"/>
      <c r="O45" s="712"/>
      <c r="P45" s="713"/>
      <c r="Q45" s="276"/>
      <c r="R45" s="276"/>
      <c r="S45" s="276"/>
      <c r="T45" s="281">
        <f>+U45+V45+W45</f>
        <v>0</v>
      </c>
      <c r="U45" s="276">
        <f>+IF(X$45&lt;=$T$42,0,IF(X$45&lt;=$U$42,((X45-$T$42)*Tables_Brokers!$B$278),X45*Tables_Brokers!$B$278))</f>
        <v>0</v>
      </c>
      <c r="V45" s="282">
        <f>+Y45</f>
        <v>0</v>
      </c>
      <c r="W45" s="282"/>
      <c r="X45" s="183">
        <f>+C45*12</f>
        <v>0</v>
      </c>
      <c r="Y45" s="183">
        <f>+SUM(Z45:AD45)</f>
        <v>0</v>
      </c>
      <c r="Z45" s="183">
        <f>+IF(X45&gt;=Tables_Brokers!$A$275,((X45-Tables_Brokers!$A$275)*Tables_Brokers!$B$276)+Tables_Brokers!$C$275,0)</f>
        <v>0</v>
      </c>
      <c r="AA45" s="183" t="b">
        <f>+IF(Z45=0,IF(X45&gt;=Tables_Brokers!$A$274,(X45-Tables_Brokers!$A$274)*Tables_Brokers!$B$275+Tables_Brokers!$C$274),0)</f>
        <v>0</v>
      </c>
      <c r="AB45" s="218" t="b">
        <f>+IF(SUM(Z45:AA45)=0,IF(X45&gt;=Tables_Brokers!$A$273,(X45-Tables_Brokers!$A$273)*Tables_Brokers!$B$274+Tables_Brokers!$C$273),0)</f>
        <v>0</v>
      </c>
      <c r="AC45" s="218" t="b">
        <f>+IF(SUM(Z45:AB45)=0,IF(X45&gt;=Tables_Brokers!$A$272,(X45-Tables_Brokers!$A$272)*Tables_Brokers!$B$273+Tables_Brokers!$C$272),0)</f>
        <v>0</v>
      </c>
      <c r="AD45" s="218">
        <f>+IF(SUM(Z45:AC45)=0,IF(X45&lt;=Tables_Brokers!$A$272,0,0))</f>
        <v>0</v>
      </c>
      <c r="AE45" s="218"/>
      <c r="AF45" s="218"/>
      <c r="AG45" s="183"/>
      <c r="AH45" s="183"/>
      <c r="AI45" s="183"/>
      <c r="AJ45" s="183"/>
      <c r="AK45" s="218"/>
      <c r="AL45" s="218"/>
      <c r="AM45" s="218"/>
      <c r="AN45" s="218"/>
      <c r="AO45" s="218"/>
      <c r="AP45" s="218"/>
      <c r="AQ45" s="218"/>
      <c r="AR45" s="208"/>
    </row>
    <row r="46" spans="1:44" ht="18" customHeight="1" thickBot="1">
      <c r="B46" s="40" t="s">
        <v>101</v>
      </c>
      <c r="C46" s="828" t="str">
        <f>I10</f>
        <v>Rental Income</v>
      </c>
      <c r="D46" s="829"/>
      <c r="E46" s="15">
        <f>+L14*I14</f>
        <v>0</v>
      </c>
      <c r="F46" s="231"/>
      <c r="G46" s="231"/>
      <c r="H46" s="231"/>
      <c r="I46" s="241"/>
      <c r="J46" s="231"/>
      <c r="K46" s="231"/>
      <c r="L46" s="232"/>
      <c r="N46" s="183"/>
      <c r="O46" s="712"/>
      <c r="P46" s="713"/>
      <c r="Q46" s="276"/>
      <c r="R46" s="276"/>
      <c r="S46" s="276"/>
      <c r="T46" s="276"/>
      <c r="U46" s="276"/>
      <c r="V46" s="183"/>
      <c r="W46" s="183"/>
      <c r="X46" s="183"/>
      <c r="Y46" s="183"/>
      <c r="Z46" s="183"/>
      <c r="AA46" s="183"/>
      <c r="AB46" s="218"/>
      <c r="AC46" s="218"/>
      <c r="AD46" s="218"/>
      <c r="AE46" s="218"/>
      <c r="AF46" s="218"/>
      <c r="AG46" s="218"/>
      <c r="AH46" s="218"/>
      <c r="AI46" s="218"/>
      <c r="AJ46" s="218"/>
      <c r="AK46" s="218"/>
      <c r="AL46" s="218"/>
      <c r="AM46" s="218"/>
      <c r="AN46" s="218"/>
      <c r="AO46" s="218"/>
      <c r="AP46" s="218"/>
      <c r="AQ46" s="218"/>
      <c r="AR46" s="208"/>
    </row>
    <row r="47" spans="1:44" ht="18" customHeight="1">
      <c r="B47" s="40" t="s">
        <v>102</v>
      </c>
      <c r="C47" s="15">
        <f>+V7+V8+V9</f>
        <v>0</v>
      </c>
      <c r="D47" s="15">
        <v>0</v>
      </c>
      <c r="E47" s="236">
        <f>+V7+V8+V9</f>
        <v>0</v>
      </c>
      <c r="F47" s="830" t="s">
        <v>103</v>
      </c>
      <c r="G47" s="831"/>
      <c r="H47" s="831"/>
      <c r="I47" s="832"/>
      <c r="J47" s="833" t="s">
        <v>104</v>
      </c>
      <c r="K47" s="834"/>
      <c r="L47" s="835"/>
      <c r="M47" s="330" t="s">
        <v>105</v>
      </c>
      <c r="N47" s="283"/>
      <c r="O47" s="712"/>
      <c r="P47" s="713"/>
      <c r="Q47" s="276"/>
      <c r="R47" s="276"/>
      <c r="S47" s="276"/>
      <c r="T47" s="276"/>
      <c r="U47" s="276"/>
      <c r="V47" s="183"/>
      <c r="W47" s="183"/>
      <c r="X47" s="183"/>
      <c r="Y47" s="183"/>
      <c r="Z47" s="183"/>
      <c r="AA47" s="183"/>
      <c r="AB47" s="218"/>
      <c r="AC47" s="218"/>
      <c r="AD47" s="218"/>
      <c r="AE47" s="218"/>
      <c r="AF47" s="218"/>
      <c r="AG47" s="218"/>
      <c r="AH47" s="218"/>
      <c r="AI47" s="218"/>
      <c r="AJ47" s="218"/>
      <c r="AK47" s="218"/>
      <c r="AL47" s="218"/>
      <c r="AM47" s="218"/>
      <c r="AN47" s="218"/>
      <c r="AO47" s="218"/>
      <c r="AP47" s="218"/>
      <c r="AQ47" s="218"/>
      <c r="AR47" s="208"/>
    </row>
    <row r="48" spans="1:44" ht="18" customHeight="1" thickBot="1">
      <c r="B48" s="10" t="s">
        <v>106</v>
      </c>
      <c r="C48" s="17">
        <f>SUM(C44:C45)+E46+E47</f>
        <v>0</v>
      </c>
      <c r="D48" s="17">
        <f>SUM(D44:D45)</f>
        <v>0</v>
      </c>
      <c r="E48" s="163">
        <f>SUM(E44:E47)</f>
        <v>0</v>
      </c>
      <c r="F48" s="484" t="s">
        <v>13</v>
      </c>
      <c r="G48" s="15">
        <f>+C48</f>
        <v>0</v>
      </c>
      <c r="H48" s="561" t="s">
        <v>54</v>
      </c>
      <c r="I48" s="242" t="str">
        <f>+K24</f>
        <v xml:space="preserve"> </v>
      </c>
      <c r="J48" s="484" t="s">
        <v>107</v>
      </c>
      <c r="K48" s="234" t="e">
        <f>+(I40+L20)/E48</f>
        <v>#N/A</v>
      </c>
      <c r="L48" s="180" t="e">
        <f>+E48-I40-L20</f>
        <v>#N/A</v>
      </c>
      <c r="M48" s="329">
        <f>+W44/12</f>
        <v>0</v>
      </c>
      <c r="N48" s="183"/>
      <c r="O48" s="712"/>
      <c r="P48" s="713"/>
      <c r="Q48" s="276"/>
      <c r="R48" s="276"/>
      <c r="S48" s="276"/>
      <c r="T48" s="183"/>
      <c r="U48" s="406"/>
      <c r="V48" s="183"/>
      <c r="W48" s="183"/>
      <c r="X48" s="183"/>
      <c r="Y48" s="183"/>
      <c r="Z48" s="183"/>
      <c r="AB48" s="183"/>
      <c r="AC48" s="183"/>
      <c r="AD48" s="218"/>
      <c r="AE48" s="218"/>
      <c r="AF48" s="218"/>
      <c r="AG48" s="218"/>
      <c r="AH48" s="218"/>
      <c r="AI48" s="218"/>
      <c r="AJ48" s="218"/>
      <c r="AK48" s="218"/>
      <c r="AL48" s="218"/>
      <c r="AM48" s="218"/>
      <c r="AN48" s="218"/>
      <c r="AO48" s="218"/>
      <c r="AP48" s="218"/>
      <c r="AQ48" s="218"/>
      <c r="AR48" s="208"/>
    </row>
    <row r="49" spans="2:43" ht="18" customHeight="1">
      <c r="B49" s="781" t="s">
        <v>108</v>
      </c>
      <c r="C49" s="799"/>
      <c r="D49" s="799"/>
      <c r="E49" s="800"/>
      <c r="F49" s="484" t="s">
        <v>109</v>
      </c>
      <c r="G49" s="15" t="e">
        <f>+L20+J40+D48-J24</f>
        <v>#N/A</v>
      </c>
      <c r="H49" s="561" t="s">
        <v>110</v>
      </c>
      <c r="I49" s="242" t="e">
        <f>+(J40+D48+L20)/C48</f>
        <v>#N/A</v>
      </c>
      <c r="J49" s="485" t="s">
        <v>111</v>
      </c>
      <c r="K49" s="421" t="e">
        <f>(J40+L20)/E48</f>
        <v>#N/A</v>
      </c>
      <c r="L49" s="69" t="e">
        <f>+E48-J40-L20</f>
        <v>#N/A</v>
      </c>
      <c r="N49" s="284"/>
      <c r="O49" s="183"/>
      <c r="P49" s="183"/>
      <c r="Q49" s="819"/>
      <c r="R49" s="819"/>
      <c r="S49" s="819"/>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Q49" s="183"/>
    </row>
    <row r="50" spans="2:43" ht="18" customHeight="1">
      <c r="B50" s="40" t="s">
        <v>112</v>
      </c>
      <c r="C50" s="15">
        <f>SUM(T22:V22)</f>
        <v>0</v>
      </c>
      <c r="D50" s="235" t="s">
        <v>113</v>
      </c>
      <c r="E50" s="180">
        <f>SUMIF(A35:A39,"",E35:E39)</f>
        <v>0</v>
      </c>
      <c r="F50" s="484" t="s">
        <v>114</v>
      </c>
      <c r="G50" s="15" t="e">
        <f>+C48-G49-I24</f>
        <v>#N/A</v>
      </c>
      <c r="H50" s="561" t="s">
        <v>115</v>
      </c>
      <c r="I50" s="236" t="e">
        <f>+C48-G49</f>
        <v>#N/A</v>
      </c>
      <c r="J50" s="820" t="s">
        <v>116</v>
      </c>
      <c r="K50" s="820"/>
      <c r="L50" s="559" t="s">
        <v>117</v>
      </c>
      <c r="N50" s="285"/>
      <c r="O50" s="183"/>
      <c r="P50" s="183"/>
      <c r="Q50" s="819"/>
      <c r="R50" s="819"/>
      <c r="S50" s="819"/>
      <c r="T50" s="183"/>
      <c r="U50" s="286"/>
      <c r="V50" s="287"/>
      <c r="W50" s="287"/>
      <c r="X50" s="288"/>
      <c r="Y50" s="288"/>
      <c r="Z50" s="288"/>
      <c r="AA50" s="288"/>
      <c r="AB50" s="288"/>
      <c r="AC50" s="183"/>
      <c r="AD50" s="183"/>
      <c r="AE50" s="183"/>
      <c r="AF50" s="183"/>
      <c r="AG50" s="183"/>
      <c r="AH50" s="183"/>
      <c r="AI50" s="183"/>
      <c r="AJ50" s="183"/>
      <c r="AK50" s="183"/>
      <c r="AL50" s="183"/>
      <c r="AM50" s="183"/>
      <c r="AN50" s="183"/>
      <c r="AO50" s="183"/>
      <c r="AQ50" s="183"/>
    </row>
    <row r="51" spans="2:43" ht="18" customHeight="1" thickBot="1">
      <c r="B51" s="237" t="s">
        <v>118</v>
      </c>
      <c r="C51" s="560">
        <f>+C40-SUMIF(A35:A39,"",C35:C39)+E50</f>
        <v>0</v>
      </c>
      <c r="D51" s="238" t="s">
        <v>119</v>
      </c>
      <c r="E51" s="244" t="e">
        <f>+C51/C50</f>
        <v>#DIV/0!</v>
      </c>
      <c r="F51" s="486" t="s">
        <v>120</v>
      </c>
      <c r="G51" s="821">
        <f>+SUM(C25:C34)+SUM(E35:E39)</f>
        <v>0</v>
      </c>
      <c r="H51" s="822"/>
      <c r="I51" s="420"/>
      <c r="J51" s="823" t="e">
        <f>IF(L51="NO","DECLINED",+VLOOKUP(T50,Approval_Officers,2,FALSE))</f>
        <v>#N/A</v>
      </c>
      <c r="K51" s="823"/>
      <c r="L51" s="422" t="e">
        <f>+IF(I49&lt;1,"Yes","NO")</f>
        <v>#N/A</v>
      </c>
      <c r="N51" s="285"/>
      <c r="O51" s="183"/>
      <c r="P51" s="183"/>
      <c r="Q51" s="558"/>
      <c r="R51" s="558"/>
      <c r="S51" s="558"/>
      <c r="T51" s="183"/>
      <c r="U51" s="286"/>
      <c r="V51" s="287"/>
      <c r="W51" s="287"/>
      <c r="X51" s="289"/>
      <c r="Y51" s="289"/>
      <c r="Z51" s="289"/>
      <c r="AA51" s="289"/>
      <c r="AB51" s="289"/>
      <c r="AC51" s="183"/>
      <c r="AD51" s="183"/>
      <c r="AE51" s="183"/>
      <c r="AF51" s="183"/>
      <c r="AG51" s="183"/>
      <c r="AH51" s="183"/>
      <c r="AI51" s="183"/>
      <c r="AJ51" s="183"/>
      <c r="AK51" s="183"/>
      <c r="AL51" s="183"/>
      <c r="AM51" s="183"/>
      <c r="AN51" s="183"/>
      <c r="AO51" s="183"/>
      <c r="AQ51" s="183"/>
    </row>
    <row r="52" spans="2:43" ht="4.5" customHeight="1">
      <c r="B52" s="247"/>
      <c r="C52" s="185"/>
      <c r="D52" s="185"/>
      <c r="E52" s="185"/>
      <c r="F52" s="185"/>
      <c r="G52" s="185"/>
      <c r="H52" s="185"/>
      <c r="I52" s="185"/>
      <c r="J52" s="185"/>
      <c r="K52" s="248"/>
      <c r="L52" s="249"/>
      <c r="N52" s="284"/>
      <c r="O52" s="183"/>
      <c r="P52" s="183"/>
      <c r="Q52" s="183"/>
      <c r="R52" s="218"/>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Q52" s="183"/>
    </row>
    <row r="53" spans="2:43" ht="18" hidden="1" customHeight="1">
      <c r="B53" s="781" t="s">
        <v>121</v>
      </c>
      <c r="C53" s="799"/>
      <c r="D53" s="799"/>
      <c r="E53" s="799"/>
      <c r="F53" s="799"/>
      <c r="G53" s="800"/>
      <c r="H53" s="185"/>
      <c r="I53" s="781" t="s">
        <v>122</v>
      </c>
      <c r="J53" s="799"/>
      <c r="K53" s="799"/>
      <c r="L53" s="800"/>
      <c r="M53" s="210"/>
      <c r="N53" s="218"/>
      <c r="O53" s="218"/>
      <c r="P53" s="218"/>
      <c r="Q53" s="218"/>
      <c r="R53" s="218"/>
      <c r="S53" s="183"/>
      <c r="T53" s="183"/>
      <c r="U53" s="183"/>
      <c r="V53" s="183"/>
      <c r="W53" s="183"/>
      <c r="X53" s="273"/>
      <c r="Y53" s="273"/>
      <c r="Z53" s="273"/>
      <c r="AA53" s="273"/>
      <c r="AB53" s="273"/>
      <c r="AC53" s="273"/>
      <c r="AD53" s="183"/>
      <c r="AE53" s="183"/>
      <c r="AF53" s="183"/>
      <c r="AG53" s="183"/>
      <c r="AH53" s="183"/>
      <c r="AI53" s="183"/>
      <c r="AJ53" s="183"/>
      <c r="AK53" s="183"/>
      <c r="AL53" s="183"/>
      <c r="AM53" s="183"/>
      <c r="AN53" s="183"/>
      <c r="AO53" s="183"/>
      <c r="AQ53" s="183"/>
    </row>
    <row r="54" spans="2:43" ht="18" hidden="1" customHeight="1">
      <c r="B54" s="801" t="s">
        <v>123</v>
      </c>
      <c r="C54" s="802"/>
      <c r="D54" s="4" t="s">
        <v>124</v>
      </c>
      <c r="E54" s="4" t="s">
        <v>54</v>
      </c>
      <c r="F54" s="4" t="s">
        <v>125</v>
      </c>
      <c r="G54" s="324" t="s">
        <v>126</v>
      </c>
      <c r="H54" s="185"/>
      <c r="I54" s="250" t="s">
        <v>127</v>
      </c>
      <c r="J54" s="803"/>
      <c r="K54" s="803"/>
      <c r="L54" s="804"/>
      <c r="M54" s="210"/>
      <c r="N54" s="218"/>
      <c r="O54" s="218"/>
      <c r="P54" s="218"/>
      <c r="Q54" s="218"/>
      <c r="R54" s="218"/>
      <c r="S54" s="183"/>
      <c r="T54" s="183"/>
      <c r="U54" s="183"/>
      <c r="V54" s="183"/>
      <c r="W54" s="183"/>
      <c r="X54" s="290"/>
      <c r="Y54" s="290"/>
      <c r="Z54" s="290"/>
      <c r="AA54" s="290"/>
      <c r="AB54" s="290"/>
      <c r="AC54" s="290"/>
      <c r="AD54" s="183"/>
      <c r="AE54" s="183"/>
      <c r="AF54" s="183"/>
      <c r="AG54" s="183"/>
      <c r="AH54" s="183"/>
      <c r="AI54" s="183"/>
      <c r="AJ54" s="183"/>
      <c r="AK54" s="183"/>
      <c r="AL54" s="183"/>
      <c r="AM54" s="183"/>
      <c r="AN54" s="183"/>
      <c r="AO54" s="183"/>
      <c r="AQ54" s="183"/>
    </row>
    <row r="55" spans="2:43" ht="18" hidden="1" customHeight="1">
      <c r="B55" s="805"/>
      <c r="C55" s="806"/>
      <c r="D55" s="320"/>
      <c r="E55" s="321"/>
      <c r="F55" s="322"/>
      <c r="G55" s="323"/>
      <c r="H55" s="185"/>
      <c r="I55" s="251" t="s">
        <v>128</v>
      </c>
      <c r="J55" s="807"/>
      <c r="K55" s="807"/>
      <c r="L55" s="808"/>
      <c r="M55" s="210"/>
      <c r="N55" s="218"/>
      <c r="O55" s="218"/>
      <c r="P55" s="218"/>
      <c r="Q55" s="218"/>
      <c r="R55" s="218"/>
      <c r="S55" s="183"/>
      <c r="T55" s="183"/>
      <c r="U55" s="183"/>
      <c r="V55" s="183"/>
      <c r="W55" s="183"/>
      <c r="X55" s="290"/>
      <c r="Y55" s="290"/>
      <c r="Z55" s="290"/>
      <c r="AA55" s="290"/>
      <c r="AB55" s="290"/>
      <c r="AC55" s="290"/>
      <c r="AD55" s="183"/>
      <c r="AE55" s="183"/>
      <c r="AF55" s="183"/>
      <c r="AG55" s="183"/>
      <c r="AH55" s="183"/>
      <c r="AI55" s="183"/>
      <c r="AJ55" s="183"/>
      <c r="AK55" s="183"/>
      <c r="AL55" s="183"/>
      <c r="AM55" s="183"/>
      <c r="AN55" s="183"/>
      <c r="AO55" s="183"/>
      <c r="AQ55" s="183"/>
    </row>
    <row r="56" spans="2:43" ht="18" hidden="1" customHeight="1">
      <c r="B56" s="805"/>
      <c r="C56" s="806"/>
      <c r="D56" s="320"/>
      <c r="E56" s="321"/>
      <c r="F56" s="322"/>
      <c r="G56" s="323"/>
      <c r="H56" s="185"/>
      <c r="I56" s="809" t="s">
        <v>129</v>
      </c>
      <c r="J56" s="810"/>
      <c r="K56" s="810"/>
      <c r="L56" s="811"/>
      <c r="N56" s="183"/>
      <c r="O56" s="183"/>
      <c r="P56" s="183"/>
      <c r="Q56" s="183"/>
      <c r="R56" s="183"/>
      <c r="S56" s="183"/>
      <c r="T56" s="183"/>
      <c r="U56" s="183"/>
      <c r="V56" s="183"/>
      <c r="W56" s="183"/>
      <c r="X56" s="290"/>
      <c r="Y56" s="290"/>
      <c r="Z56" s="290"/>
      <c r="AA56" s="290"/>
      <c r="AB56" s="290"/>
      <c r="AD56" s="183"/>
      <c r="AE56" s="183"/>
      <c r="AF56" s="183"/>
      <c r="AG56" s="183"/>
      <c r="AH56" s="183"/>
      <c r="AI56" s="183"/>
      <c r="AJ56" s="183"/>
      <c r="AK56" s="183"/>
      <c r="AL56" s="183"/>
      <c r="AM56" s="183"/>
      <c r="AN56" s="183"/>
      <c r="AO56" s="183"/>
      <c r="AQ56" s="183"/>
    </row>
    <row r="57" spans="2:43" ht="18" hidden="1" customHeight="1" thickBot="1">
      <c r="B57" s="237" t="s">
        <v>130</v>
      </c>
      <c r="C57" s="268"/>
      <c r="D57" s="268"/>
      <c r="E57" s="325" t="s">
        <v>131</v>
      </c>
      <c r="F57" s="162"/>
      <c r="G57" s="326"/>
      <c r="H57" s="185"/>
      <c r="I57" s="812" t="e">
        <f>+J51</f>
        <v>#N/A</v>
      </c>
      <c r="J57" s="813"/>
      <c r="K57" s="813"/>
      <c r="L57" s="814"/>
      <c r="N57" s="183"/>
      <c r="O57" s="183"/>
      <c r="P57" s="183"/>
      <c r="Q57" s="183"/>
      <c r="R57" s="183"/>
      <c r="S57" s="183"/>
      <c r="T57" s="183"/>
      <c r="U57" s="183"/>
      <c r="V57" s="183"/>
      <c r="W57" s="183"/>
      <c r="X57" s="273"/>
      <c r="Y57" s="273"/>
      <c r="Z57" s="273"/>
      <c r="AA57" s="273"/>
      <c r="AB57" s="273"/>
      <c r="AC57" s="273"/>
      <c r="AD57" s="183"/>
      <c r="AE57" s="183"/>
      <c r="AF57" s="183"/>
      <c r="AG57" s="183"/>
      <c r="AH57" s="183"/>
      <c r="AI57" s="183"/>
      <c r="AJ57" s="183"/>
      <c r="AK57" s="183"/>
      <c r="AL57" s="183"/>
      <c r="AM57" s="183"/>
      <c r="AN57" s="183"/>
      <c r="AO57" s="183"/>
      <c r="AQ57" s="183"/>
    </row>
    <row r="58" spans="2:43" ht="18" hidden="1" customHeight="1">
      <c r="B58" s="809" t="s">
        <v>132</v>
      </c>
      <c r="C58" s="815"/>
      <c r="D58" s="815"/>
      <c r="E58" s="815"/>
      <c r="F58" s="815"/>
      <c r="G58" s="816"/>
      <c r="H58" s="185"/>
      <c r="I58" s="190" t="s">
        <v>127</v>
      </c>
      <c r="J58" s="817"/>
      <c r="K58" s="817"/>
      <c r="L58" s="818"/>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Q58" s="183"/>
    </row>
    <row r="59" spans="2:43" ht="18" hidden="1" customHeight="1" thickBot="1">
      <c r="B59" s="795" t="s">
        <v>133</v>
      </c>
      <c r="C59" s="772"/>
      <c r="D59" s="787"/>
      <c r="E59" s="787"/>
      <c r="F59" s="787"/>
      <c r="G59" s="788"/>
      <c r="H59" s="185"/>
      <c r="I59" s="252" t="s">
        <v>128</v>
      </c>
      <c r="J59" s="797"/>
      <c r="K59" s="797"/>
      <c r="L59" s="798"/>
      <c r="N59" s="183"/>
      <c r="O59" s="183"/>
      <c r="P59" s="183"/>
      <c r="Q59" s="183"/>
      <c r="R59" s="183"/>
      <c r="S59" s="183"/>
      <c r="T59" s="183"/>
      <c r="U59" s="183"/>
      <c r="V59" s="183"/>
      <c r="W59" s="183"/>
      <c r="X59" s="291"/>
      <c r="Y59" s="291"/>
      <c r="Z59" s="291"/>
      <c r="AA59" s="291"/>
      <c r="AB59" s="291"/>
      <c r="AC59" s="183"/>
      <c r="AD59" s="183"/>
      <c r="AE59" s="183"/>
      <c r="AF59" s="183"/>
      <c r="AG59" s="183"/>
      <c r="AH59" s="183"/>
      <c r="AI59" s="183"/>
      <c r="AJ59" s="183"/>
      <c r="AK59" s="183"/>
      <c r="AL59" s="183"/>
      <c r="AM59" s="183"/>
      <c r="AN59" s="183"/>
      <c r="AO59" s="183"/>
      <c r="AQ59" s="183"/>
    </row>
    <row r="60" spans="2:43" ht="12.75" hidden="1" thickBot="1">
      <c r="B60" s="796"/>
      <c r="C60" s="789"/>
      <c r="D60" s="790"/>
      <c r="E60" s="790"/>
      <c r="F60" s="790"/>
      <c r="G60" s="791"/>
      <c r="H60" s="185"/>
      <c r="I60" s="185"/>
      <c r="J60" s="185"/>
      <c r="K60" s="185"/>
      <c r="L60" s="246"/>
      <c r="N60" s="183"/>
      <c r="O60" s="183"/>
      <c r="P60" s="183"/>
      <c r="Q60" s="183"/>
      <c r="R60" s="183"/>
      <c r="S60" s="183"/>
      <c r="T60" s="183"/>
      <c r="U60" s="183"/>
      <c r="V60" s="183"/>
      <c r="W60" s="183"/>
      <c r="X60" s="428"/>
      <c r="Y60" s="428"/>
      <c r="Z60" s="428"/>
      <c r="AA60" s="183"/>
      <c r="AB60" s="183"/>
      <c r="AC60" s="183"/>
      <c r="AD60" s="183"/>
      <c r="AE60" s="183"/>
      <c r="AF60" s="183"/>
      <c r="AG60" s="183"/>
      <c r="AH60" s="183"/>
      <c r="AI60" s="183"/>
      <c r="AJ60" s="183"/>
      <c r="AK60" s="183"/>
      <c r="AL60" s="183"/>
      <c r="AM60" s="183"/>
      <c r="AN60" s="183"/>
      <c r="AO60" s="183"/>
      <c r="AQ60" s="183"/>
    </row>
    <row r="61" spans="2:43" ht="18" hidden="1" customHeight="1">
      <c r="B61" s="769" t="s">
        <v>134</v>
      </c>
      <c r="C61" s="772"/>
      <c r="D61" s="773"/>
      <c r="E61" s="773"/>
      <c r="F61" s="773"/>
      <c r="G61" s="774"/>
      <c r="H61" s="185"/>
      <c r="I61" s="781" t="s">
        <v>135</v>
      </c>
      <c r="J61" s="782"/>
      <c r="K61" s="782"/>
      <c r="L61" s="783"/>
      <c r="N61" s="183"/>
      <c r="O61" s="183"/>
      <c r="P61" s="183"/>
      <c r="Q61" s="183"/>
      <c r="R61" s="183"/>
      <c r="S61" s="183"/>
      <c r="T61" s="183"/>
      <c r="U61" s="183"/>
      <c r="V61" s="183"/>
      <c r="W61" s="183"/>
      <c r="X61" s="414"/>
      <c r="Y61" s="414"/>
      <c r="Z61" s="414"/>
      <c r="AA61" s="414"/>
      <c r="AB61" s="414"/>
      <c r="AC61" s="183"/>
      <c r="AD61" s="183"/>
      <c r="AE61" s="183"/>
      <c r="AF61" s="183"/>
      <c r="AG61" s="183"/>
      <c r="AH61" s="183"/>
      <c r="AI61" s="183"/>
      <c r="AJ61" s="183"/>
      <c r="AK61" s="183"/>
      <c r="AL61" s="183"/>
      <c r="AM61" s="183"/>
      <c r="AN61" s="183"/>
      <c r="AO61" s="183"/>
      <c r="AQ61" s="183"/>
    </row>
    <row r="62" spans="2:43" ht="18" hidden="1" customHeight="1">
      <c r="B62" s="770"/>
      <c r="C62" s="775"/>
      <c r="D62" s="776"/>
      <c r="E62" s="776"/>
      <c r="F62" s="776"/>
      <c r="G62" s="777"/>
      <c r="H62" s="185"/>
      <c r="I62" s="149" t="s">
        <v>136</v>
      </c>
      <c r="J62" s="784"/>
      <c r="K62" s="785"/>
      <c r="L62" s="786"/>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Q62" s="183"/>
    </row>
    <row r="63" spans="2:43" ht="18" hidden="1" customHeight="1">
      <c r="B63" s="770"/>
      <c r="C63" s="775"/>
      <c r="D63" s="776"/>
      <c r="E63" s="776"/>
      <c r="F63" s="776"/>
      <c r="G63" s="777"/>
      <c r="H63" s="185"/>
      <c r="I63" s="149" t="s">
        <v>137</v>
      </c>
      <c r="J63" s="772"/>
      <c r="K63" s="787"/>
      <c r="L63" s="788"/>
      <c r="N63" s="183"/>
      <c r="O63" s="183"/>
      <c r="P63" s="183"/>
      <c r="Q63" s="183"/>
      <c r="R63" s="183"/>
      <c r="S63" s="183"/>
      <c r="T63" s="183"/>
      <c r="U63" s="183"/>
      <c r="V63" s="183"/>
      <c r="W63" s="25"/>
      <c r="X63" s="423"/>
      <c r="Y63" s="423"/>
      <c r="Z63" s="423"/>
      <c r="AA63" s="423"/>
      <c r="AB63" s="423"/>
      <c r="AC63" s="183"/>
      <c r="AD63" s="183"/>
      <c r="AE63" s="183"/>
      <c r="AF63" s="183"/>
      <c r="AG63" s="183"/>
      <c r="AH63" s="183"/>
      <c r="AI63" s="183"/>
      <c r="AJ63" s="183"/>
      <c r="AK63" s="183"/>
      <c r="AL63" s="183"/>
      <c r="AM63" s="183"/>
      <c r="AN63" s="183"/>
      <c r="AO63" s="183"/>
      <c r="AQ63" s="183"/>
    </row>
    <row r="64" spans="2:43" ht="18" hidden="1" customHeight="1">
      <c r="B64" s="770"/>
      <c r="C64" s="775"/>
      <c r="D64" s="776"/>
      <c r="E64" s="776"/>
      <c r="F64" s="776"/>
      <c r="G64" s="777"/>
      <c r="H64" s="185"/>
      <c r="I64" s="149"/>
      <c r="J64" s="789"/>
      <c r="K64" s="790"/>
      <c r="L64" s="791"/>
      <c r="N64" s="183"/>
      <c r="O64" s="183"/>
      <c r="P64" s="183"/>
      <c r="Q64" s="183"/>
      <c r="R64" s="183"/>
      <c r="S64" s="183"/>
      <c r="T64" s="183"/>
      <c r="U64" s="183"/>
      <c r="V64" s="183"/>
      <c r="W64" s="25"/>
      <c r="X64" s="423"/>
      <c r="Y64" s="423"/>
      <c r="Z64" s="423"/>
      <c r="AA64" s="429"/>
      <c r="AB64" s="423"/>
      <c r="AC64" s="183"/>
      <c r="AD64" s="183"/>
      <c r="AE64" s="183"/>
      <c r="AF64" s="183"/>
      <c r="AG64" s="183"/>
      <c r="AH64" s="183"/>
      <c r="AI64" s="183"/>
      <c r="AJ64" s="183"/>
      <c r="AK64" s="183"/>
      <c r="AL64" s="183"/>
      <c r="AM64" s="183"/>
      <c r="AN64" s="183"/>
      <c r="AO64" s="183"/>
      <c r="AQ64" s="183"/>
    </row>
    <row r="65" spans="2:43" ht="18" hidden="1" customHeight="1">
      <c r="B65" s="770"/>
      <c r="C65" s="775"/>
      <c r="D65" s="776"/>
      <c r="E65" s="776"/>
      <c r="F65" s="776"/>
      <c r="G65" s="777"/>
      <c r="H65" s="185"/>
      <c r="I65" s="149" t="s">
        <v>138</v>
      </c>
      <c r="J65" s="225"/>
      <c r="K65" s="151" t="s">
        <v>128</v>
      </c>
      <c r="L65" s="226"/>
      <c r="N65" s="183"/>
      <c r="O65" s="183"/>
      <c r="P65" s="183"/>
      <c r="Q65" s="183"/>
      <c r="R65" s="183"/>
      <c r="S65" s="183"/>
      <c r="T65" s="183"/>
      <c r="U65" s="183"/>
      <c r="V65" s="183"/>
      <c r="W65" s="25"/>
      <c r="X65" s="423"/>
      <c r="Y65" s="423"/>
      <c r="Z65" s="423"/>
      <c r="AA65" s="423"/>
      <c r="AB65" s="423"/>
      <c r="AC65" s="183"/>
      <c r="AD65" s="183"/>
      <c r="AE65" s="183"/>
      <c r="AF65" s="183"/>
      <c r="AG65" s="183"/>
      <c r="AH65" s="183"/>
      <c r="AI65" s="183"/>
      <c r="AJ65" s="183"/>
      <c r="AK65" s="183"/>
      <c r="AL65" s="183"/>
      <c r="AM65" s="183"/>
      <c r="AN65" s="183"/>
      <c r="AO65" s="183"/>
      <c r="AQ65" s="183"/>
    </row>
    <row r="66" spans="2:43" ht="18" hidden="1" customHeight="1" thickBot="1">
      <c r="B66" s="771"/>
      <c r="C66" s="778"/>
      <c r="D66" s="779"/>
      <c r="E66" s="779"/>
      <c r="F66" s="779"/>
      <c r="G66" s="780"/>
      <c r="H66" s="245"/>
      <c r="I66" s="150" t="s">
        <v>139</v>
      </c>
      <c r="J66" s="792"/>
      <c r="K66" s="793"/>
      <c r="L66" s="794"/>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Q66" s="183"/>
    </row>
    <row r="67" spans="2:43" hidden="1"/>
    <row r="68" spans="2:43" ht="22.5" customHeight="1" thickBot="1">
      <c r="B68" s="758" t="s">
        <v>140</v>
      </c>
      <c r="C68" s="759"/>
      <c r="D68" s="759"/>
      <c r="E68" s="759"/>
      <c r="F68" s="759"/>
      <c r="G68" s="759"/>
      <c r="H68" s="759"/>
      <c r="I68" s="759"/>
      <c r="J68" s="759"/>
      <c r="K68" s="759"/>
      <c r="L68" s="759"/>
    </row>
    <row r="69" spans="2:43" ht="12.75" customHeight="1">
      <c r="B69" s="760"/>
      <c r="C69" s="761"/>
      <c r="D69" s="761"/>
      <c r="E69" s="761"/>
      <c r="F69" s="761"/>
      <c r="G69" s="761"/>
      <c r="H69" s="761"/>
      <c r="I69" s="761"/>
      <c r="J69" s="761"/>
      <c r="K69" s="761"/>
      <c r="L69" s="762"/>
    </row>
    <row r="70" spans="2:43" ht="12.75" customHeight="1">
      <c r="B70" s="763"/>
      <c r="C70" s="764"/>
      <c r="D70" s="764"/>
      <c r="E70" s="764"/>
      <c r="F70" s="764"/>
      <c r="G70" s="764"/>
      <c r="H70" s="764"/>
      <c r="I70" s="764"/>
      <c r="J70" s="764"/>
      <c r="K70" s="764"/>
      <c r="L70" s="765"/>
    </row>
    <row r="71" spans="2:43" ht="12.75" customHeight="1">
      <c r="B71" s="763"/>
      <c r="C71" s="764"/>
      <c r="D71" s="764"/>
      <c r="E71" s="764"/>
      <c r="F71" s="764"/>
      <c r="G71" s="764"/>
      <c r="H71" s="764"/>
      <c r="I71" s="764"/>
      <c r="J71" s="764"/>
      <c r="K71" s="764"/>
      <c r="L71" s="765"/>
    </row>
    <row r="72" spans="2:43" ht="12.75" customHeight="1">
      <c r="B72" s="763"/>
      <c r="C72" s="764"/>
      <c r="D72" s="764"/>
      <c r="E72" s="764"/>
      <c r="F72" s="764"/>
      <c r="G72" s="764"/>
      <c r="H72" s="764"/>
      <c r="I72" s="764"/>
      <c r="J72" s="764"/>
      <c r="K72" s="764"/>
      <c r="L72" s="765"/>
    </row>
    <row r="73" spans="2:43" ht="12.75" customHeight="1">
      <c r="B73" s="763"/>
      <c r="C73" s="764"/>
      <c r="D73" s="764"/>
      <c r="E73" s="764"/>
      <c r="F73" s="764"/>
      <c r="G73" s="764"/>
      <c r="H73" s="764"/>
      <c r="I73" s="764"/>
      <c r="J73" s="764"/>
      <c r="K73" s="764"/>
      <c r="L73" s="765"/>
    </row>
    <row r="74" spans="2:43" ht="12.75" customHeight="1">
      <c r="B74" s="763"/>
      <c r="C74" s="764"/>
      <c r="D74" s="764"/>
      <c r="E74" s="764"/>
      <c r="F74" s="764"/>
      <c r="G74" s="764"/>
      <c r="H74" s="764"/>
      <c r="I74" s="764"/>
      <c r="J74" s="764"/>
      <c r="K74" s="764"/>
      <c r="L74" s="765"/>
    </row>
    <row r="75" spans="2:43" ht="12.75" customHeight="1">
      <c r="B75" s="763"/>
      <c r="C75" s="764"/>
      <c r="D75" s="764"/>
      <c r="E75" s="764"/>
      <c r="F75" s="764"/>
      <c r="G75" s="764"/>
      <c r="H75" s="764"/>
      <c r="I75" s="764"/>
      <c r="J75" s="764"/>
      <c r="K75" s="764"/>
      <c r="L75" s="765"/>
    </row>
    <row r="76" spans="2:43" ht="12.75" customHeight="1">
      <c r="B76" s="763"/>
      <c r="C76" s="764"/>
      <c r="D76" s="764"/>
      <c r="E76" s="764"/>
      <c r="F76" s="764"/>
      <c r="G76" s="764"/>
      <c r="H76" s="764"/>
      <c r="I76" s="764"/>
      <c r="J76" s="764"/>
      <c r="K76" s="764"/>
      <c r="L76" s="765"/>
    </row>
    <row r="77" spans="2:43" ht="12.75" customHeight="1">
      <c r="B77" s="763"/>
      <c r="C77" s="764"/>
      <c r="D77" s="764"/>
      <c r="E77" s="764"/>
      <c r="F77" s="764"/>
      <c r="G77" s="764"/>
      <c r="H77" s="764"/>
      <c r="I77" s="764"/>
      <c r="J77" s="764"/>
      <c r="K77" s="764"/>
      <c r="L77" s="765"/>
    </row>
    <row r="78" spans="2:43" ht="12.75" customHeight="1">
      <c r="B78" s="763"/>
      <c r="C78" s="764"/>
      <c r="D78" s="764"/>
      <c r="E78" s="764"/>
      <c r="F78" s="764"/>
      <c r="G78" s="764"/>
      <c r="H78" s="764"/>
      <c r="I78" s="764"/>
      <c r="J78" s="764"/>
      <c r="K78" s="764"/>
      <c r="L78" s="765"/>
    </row>
    <row r="79" spans="2:43" ht="12.75" customHeight="1">
      <c r="B79" s="763"/>
      <c r="C79" s="764"/>
      <c r="D79" s="764"/>
      <c r="E79" s="764"/>
      <c r="F79" s="764"/>
      <c r="G79" s="764"/>
      <c r="H79" s="764"/>
      <c r="I79" s="764"/>
      <c r="J79" s="764"/>
      <c r="K79" s="764"/>
      <c r="L79" s="765"/>
    </row>
    <row r="80" spans="2:43" ht="12.75" customHeight="1">
      <c r="B80" s="763"/>
      <c r="C80" s="764"/>
      <c r="D80" s="764"/>
      <c r="E80" s="764"/>
      <c r="F80" s="764"/>
      <c r="G80" s="764"/>
      <c r="H80" s="764"/>
      <c r="I80" s="764"/>
      <c r="J80" s="764"/>
      <c r="K80" s="764"/>
      <c r="L80" s="765"/>
    </row>
    <row r="81" spans="2:12" ht="12.75" customHeight="1">
      <c r="B81" s="763"/>
      <c r="C81" s="764"/>
      <c r="D81" s="764"/>
      <c r="E81" s="764"/>
      <c r="F81" s="764"/>
      <c r="G81" s="764"/>
      <c r="H81" s="764"/>
      <c r="I81" s="764"/>
      <c r="J81" s="764"/>
      <c r="K81" s="764"/>
      <c r="L81" s="765"/>
    </row>
    <row r="82" spans="2:12" ht="12.75" customHeight="1">
      <c r="B82" s="763"/>
      <c r="C82" s="764"/>
      <c r="D82" s="764"/>
      <c r="E82" s="764"/>
      <c r="F82" s="764"/>
      <c r="G82" s="764"/>
      <c r="H82" s="764"/>
      <c r="I82" s="764"/>
      <c r="J82" s="764"/>
      <c r="K82" s="764"/>
      <c r="L82" s="765"/>
    </row>
    <row r="83" spans="2:12" ht="12.75" customHeight="1" thickBot="1">
      <c r="B83" s="766"/>
      <c r="C83" s="767"/>
      <c r="D83" s="767"/>
      <c r="E83" s="767"/>
      <c r="F83" s="767"/>
      <c r="G83" s="767"/>
      <c r="H83" s="767"/>
      <c r="I83" s="767"/>
      <c r="J83" s="767"/>
      <c r="K83" s="767"/>
      <c r="L83" s="768"/>
    </row>
  </sheetData>
  <sheetProtection algorithmName="SHA-512" hashValue="ANYFyGe8XLQhTHRyr8IsIGnxPakP/zdlEXMldsTpdZ0i0h9CGHV9isQvSMXlU82hLVVEgWJ+89KblvDm3ri2jA==" saltValue="qLae/ZH2NxCOpknrixKqmg==" spinCount="100000" sheet="1" selectLockedCells="1"/>
  <dataConsolidate/>
  <mergeCells count="59">
    <mergeCell ref="B4:D4"/>
    <mergeCell ref="H4:J4"/>
    <mergeCell ref="B6:G6"/>
    <mergeCell ref="I6:L6"/>
    <mergeCell ref="D7:E7"/>
    <mergeCell ref="I7:J7"/>
    <mergeCell ref="D8:E8"/>
    <mergeCell ref="I8:J8"/>
    <mergeCell ref="D9:E9"/>
    <mergeCell ref="I9:J9"/>
    <mergeCell ref="D10:E10"/>
    <mergeCell ref="I10:L10"/>
    <mergeCell ref="B22:L22"/>
    <mergeCell ref="D11:E11"/>
    <mergeCell ref="D12:E12"/>
    <mergeCell ref="D13:E13"/>
    <mergeCell ref="D14:E14"/>
    <mergeCell ref="J14:K14"/>
    <mergeCell ref="D15:E15"/>
    <mergeCell ref="I15:L15"/>
    <mergeCell ref="D16:E16"/>
    <mergeCell ref="D17:E17"/>
    <mergeCell ref="D18:E18"/>
    <mergeCell ref="D19:E19"/>
    <mergeCell ref="J20:K20"/>
    <mergeCell ref="D40:E40"/>
    <mergeCell ref="G40:H40"/>
    <mergeCell ref="B42:L42"/>
    <mergeCell ref="C46:D46"/>
    <mergeCell ref="F47:I47"/>
    <mergeCell ref="J47:L47"/>
    <mergeCell ref="B49:E49"/>
    <mergeCell ref="Q49:S49"/>
    <mergeCell ref="J50:K50"/>
    <mergeCell ref="Q50:S50"/>
    <mergeCell ref="G51:H51"/>
    <mergeCell ref="J51:K51"/>
    <mergeCell ref="B59:B60"/>
    <mergeCell ref="C59:G60"/>
    <mergeCell ref="J59:L59"/>
    <mergeCell ref="B53:G53"/>
    <mergeCell ref="I53:L53"/>
    <mergeCell ref="B54:C54"/>
    <mergeCell ref="J54:L54"/>
    <mergeCell ref="B55:C55"/>
    <mergeCell ref="J55:L55"/>
    <mergeCell ref="B56:C56"/>
    <mergeCell ref="I56:L56"/>
    <mergeCell ref="I57:L57"/>
    <mergeCell ref="B58:G58"/>
    <mergeCell ref="J58:L58"/>
    <mergeCell ref="B68:L68"/>
    <mergeCell ref="B69:L83"/>
    <mergeCell ref="B61:B66"/>
    <mergeCell ref="C61:G66"/>
    <mergeCell ref="I61:L61"/>
    <mergeCell ref="J62:L62"/>
    <mergeCell ref="J63:L64"/>
    <mergeCell ref="J66:L66"/>
  </mergeCells>
  <conditionalFormatting sqref="E51 J51">
    <cfRule type="cellIs" dxfId="33" priority="15" operator="equal">
      <formula>"Board of Directors"</formula>
    </cfRule>
  </conditionalFormatting>
  <conditionalFormatting sqref="E51">
    <cfRule type="colorScale" priority="12">
      <colorScale>
        <cfvo type="num" val="3"/>
        <cfvo type="num" val="4"/>
        <cfvo type="num" val="6"/>
        <color rgb="FF92D050"/>
        <color rgb="FFFFEB84"/>
        <color rgb="FFFF0000"/>
      </colorScale>
    </cfRule>
  </conditionalFormatting>
  <conditionalFormatting sqref="H25:H28">
    <cfRule type="cellIs" dxfId="32" priority="14" operator="equal">
      <formula>0.5</formula>
    </cfRule>
  </conditionalFormatting>
  <conditionalFormatting sqref="H35:H39">
    <cfRule type="cellIs" dxfId="31" priority="10" operator="equal">
      <formula>"Exc"</formula>
    </cfRule>
  </conditionalFormatting>
  <conditionalFormatting sqref="I51">
    <cfRule type="cellIs" dxfId="30" priority="11" operator="notEqual">
      <formula>"Yes"</formula>
    </cfRule>
  </conditionalFormatting>
  <conditionalFormatting sqref="J18:J19">
    <cfRule type="containsBlanks" dxfId="29" priority="5">
      <formula>LEN(TRIM(J18))=0</formula>
    </cfRule>
  </conditionalFormatting>
  <conditionalFormatting sqref="K16">
    <cfRule type="cellIs" dxfId="28" priority="7" operator="equal">
      <formula>"Disc applied"</formula>
    </cfRule>
  </conditionalFormatting>
  <conditionalFormatting sqref="K49">
    <cfRule type="expression" dxfId="27" priority="1">
      <formula>"&lt;100"</formula>
    </cfRule>
    <cfRule type="expression" dxfId="26" priority="2">
      <formula>"&gt;=100"</formula>
    </cfRule>
  </conditionalFormatting>
  <conditionalFormatting sqref="L20">
    <cfRule type="cellIs" dxfId="25" priority="8" operator="equal">
      <formula>$L$17</formula>
    </cfRule>
  </conditionalFormatting>
  <conditionalFormatting sqref="L51">
    <cfRule type="cellIs" dxfId="24" priority="16" stopIfTrue="1" operator="equal">
      <formula>"No"</formula>
    </cfRule>
  </conditionalFormatting>
  <dataValidations count="21">
    <dataValidation type="list" allowBlank="1" showInputMessage="1" showErrorMessage="1" sqref="J21" xr:uid="{649A77A7-9D09-431F-A5E8-4E3B64A9C182}">
      <formula1>$A$190:$A$192</formula1>
    </dataValidation>
    <dataValidation type="list" allowBlank="1" showInputMessage="1" showErrorMessage="1" sqref="K16" xr:uid="{2299156B-85FB-4165-95D7-3EE988A277A9}">
      <formula1>"Disc applied"</formula1>
    </dataValidation>
    <dataValidation type="list" allowBlank="1" showInputMessage="1" showErrorMessage="1" sqref="J20:K20" xr:uid="{6605BCCF-B6D5-41A1-A387-A0194DABBC74}">
      <formula1>Location</formula1>
    </dataValidation>
    <dataValidation type="list" allowBlank="1" showInputMessage="1" showErrorMessage="1" sqref="B30" xr:uid="{75FFDEFA-09DB-4F13-908D-B8D8B9A1AD7C}">
      <formula1>"Car Loan/Lease,Personal Loan"</formula1>
    </dataValidation>
    <dataValidation type="list" allowBlank="1" showInputMessage="1" showErrorMessage="1" sqref="B26:B28" xr:uid="{3120031D-3D80-4216-947D-B66866E907E6}">
      <formula1>"Home Loan,Investment Loan"</formula1>
    </dataValidation>
    <dataValidation type="list" allowBlank="1" showInputMessage="1" showErrorMessage="1" sqref="B35" xr:uid="{54BEDE64-9E28-40F6-A376-AC6F55F0DAC1}">
      <formula1>"Overdraft,Credit Card"</formula1>
    </dataValidation>
    <dataValidation type="whole" allowBlank="1" showInputMessage="1" showErrorMessage="1" sqref="C8" xr:uid="{F0DB016D-B15A-4F3C-98BE-5C87DDCD2731}">
      <formula1>1</formula1>
      <formula2>300000</formula2>
    </dataValidation>
    <dataValidation type="list" allowBlank="1" showInputMessage="1" showErrorMessage="1" sqref="M7:M9 M12:M13" xr:uid="{57500217-5732-4739-A8CA-FC00B90A3133}">
      <formula1>App</formula1>
    </dataValidation>
    <dataValidation type="list" allowBlank="1" showInputMessage="1" showErrorMessage="1" sqref="C57:D57" xr:uid="{BDA05FEC-D73F-4739-B7CD-8BB81A6D657C}">
      <formula1>CreditReport</formula1>
    </dataValidation>
    <dataValidation type="whole" allowBlank="1" showInputMessage="1" showErrorMessage="1" error="Exceeds maximum term allowable" sqref="G24:G28" xr:uid="{F8AE5530-5237-408B-A7D8-A6CA46D2F75F}">
      <formula1>0</formula1>
      <formula2>360</formula2>
    </dataValidation>
    <dataValidation type="list" allowBlank="1" showInputMessage="1" showErrorMessage="1" sqref="D25:D28" xr:uid="{2801E815-E379-4894-B0C9-0277BE2604D2}">
      <formula1>Interest_Type</formula1>
    </dataValidation>
    <dataValidation type="decimal" allowBlank="1" showInputMessage="1" showErrorMessage="1" error="Enter value_x000a_" sqref="E55:E56" xr:uid="{EB42C61E-4061-4135-B1CE-89D210DF6953}">
      <formula1>0</formula1>
      <formula2>1</formula2>
    </dataValidation>
    <dataValidation type="whole" allowBlank="1" showInputMessage="1" showErrorMessage="1" error="Enter value" sqref="F55:F56" xr:uid="{C747CBDA-3202-40A9-ADBF-B9AB82D1EC6B}">
      <formula1>0</formula1>
      <formula2>5000000</formula2>
    </dataValidation>
    <dataValidation allowBlank="1" showInputMessage="1" showErrorMessage="1" error="Enter value" sqref="F57 E25:E39" xr:uid="{4E4F2014-F4E9-4F8E-B311-4E17A7798727}"/>
    <dataValidation type="list" allowBlank="1" showInputMessage="1" showErrorMessage="1" sqref="H29:H31 H33:H34" xr:uid="{90225B2B-1DA8-4349-8A59-8C8734C9CAE8}">
      <formula1>"Y"</formula1>
    </dataValidation>
    <dataValidation type="list" allowBlank="1" showInputMessage="1" showErrorMessage="1" sqref="H32" xr:uid="{BB7FF864-8AF9-42B7-8B5B-AFDCCD285EEF}">
      <formula1>"50%"</formula1>
    </dataValidation>
    <dataValidation allowBlank="1" showInputMessage="1" showErrorMessage="1" error="Enter value_x000a_" sqref="J12:J13 L7:L9" xr:uid="{9BC5FE8A-F61A-4DF5-89EF-71AF5C39FFD6}"/>
    <dataValidation type="whole" allowBlank="1" showInputMessage="1" showErrorMessage="1" error="Invalid number" sqref="J17" xr:uid="{2E99E4CD-8747-444F-A24A-D9DD79C64AAA}">
      <formula1>0</formula1>
      <formula2>6</formula2>
    </dataValidation>
    <dataValidation type="whole" allowBlank="1" showInputMessage="1" showErrorMessage="1" error="Invalid number" sqref="J16" xr:uid="{B35A34CF-1F5D-40D6-A526-E2DDECE8A7F7}">
      <formula1>1</formula1>
      <formula2>2</formula2>
    </dataValidation>
    <dataValidation type="list" allowBlank="1" showInputMessage="1" showErrorMessage="1" sqref="I51 G44:G45 G55:G57" xr:uid="{7357B21A-E142-4EEB-9790-DA5FA9D6401E}">
      <formula1>Confirmed</formula1>
    </dataValidation>
    <dataValidation type="list" allowBlank="1" showInputMessage="1" showErrorMessage="1" sqref="D29:D34 K7:K9 K12:K13 G8:G19" xr:uid="{5BCA8660-9EF9-4283-89D3-46A4BA50CD37}">
      <formula1>Period</formula1>
    </dataValidation>
  </dataValidations>
  <pageMargins left="0.7" right="0.7" top="0.75" bottom="0.75" header="0.3" footer="0.3"/>
  <pageSetup paperSize="9" scale="66"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42B5CEFC-C899-4660-AF75-01D8AF99E93C}">
          <x14:formula1>
            <xm:f>Tables!$A$379:$A$382</xm:f>
          </x14:formula1>
          <xm:sqref>F34 F33</xm:sqref>
        </x14:dataValidation>
        <x14:dataValidation type="list" allowBlank="1" showInputMessage="1" showErrorMessage="1" xr:uid="{6AF1CAE3-00AB-4E77-80E8-7227B8E7014B}">
          <x14:formula1>
            <xm:f>Tables!$A$385:$A$387</xm:f>
          </x14:formula1>
          <xm:sqref>J18:J19</xm:sqref>
        </x14:dataValidation>
        <x14:dataValidation type="list" allowBlank="1" showInputMessage="1" showErrorMessage="1" xr:uid="{A73C8455-4A3D-452A-A6DE-FA2ECEA20799}">
          <x14:formula1>
            <xm:f>Tables!$C$373:$C$374</xm:f>
          </x14:formula1>
          <xm:sqref>H25:H28</xm:sqref>
        </x14:dataValidation>
        <x14:dataValidation type="list" allowBlank="1" showInputMessage="1" showErrorMessage="1" xr:uid="{8D071052-524B-41D9-B59C-2C1589349813}">
          <x14:formula1>
            <xm:f>Tables!$A$385:$A$386</xm:f>
          </x14:formula1>
          <xm:sqref>K44:K45</xm:sqref>
        </x14:dataValidation>
        <x14:dataValidation type="list" allowBlank="1" showInputMessage="1" showErrorMessage="1" xr:uid="{3DCD1BDE-4508-43C5-A2B0-1999553C5511}">
          <x14:formula1>
            <xm:f>Tables!$A$389:$A$391</xm:f>
          </x14:formula1>
          <xm:sqref>I44:I46</xm:sqref>
        </x14:dataValidation>
        <x14:dataValidation type="list" allowBlank="1" showInputMessage="1" showErrorMessage="1" xr:uid="{2A43699E-28A0-4962-9D2B-CAB25DE018BD}">
          <x14:formula1>
            <xm:f>Tables!$A$394:$A$400</xm:f>
          </x14:formula1>
          <xm:sqref>F44:F45</xm:sqref>
        </x14:dataValidation>
        <x14:dataValidation type="list" allowBlank="1" showInputMessage="1" showErrorMessage="1" xr:uid="{382DD01B-97D6-44B8-8DB6-CC4EFEE742BE}">
          <x14:formula1>
            <xm:f>Tables!$C$379:$C$380</xm:f>
          </x14:formula1>
          <xm:sqref>B39</xm:sqref>
        </x14:dataValidation>
        <x14:dataValidation type="list" allowBlank="1" showInputMessage="1" showErrorMessage="1" xr:uid="{1C225311-D0C6-4BFA-9113-50FFF5E2615B}">
          <x14:formula1>
            <xm:f>Tables!$D$373:$D$374</xm:f>
          </x14:formula1>
          <xm:sqref>H35:H39</xm:sqref>
        </x14:dataValidation>
        <x14:dataValidation type="list" allowBlank="1" showInputMessage="1" showErrorMessage="1" xr:uid="{A1B1EFD1-4E17-4F15-84A0-6F7024C585C1}">
          <x14:formula1>
            <xm:f>Tables!$A$358:$A$362</xm:f>
          </x14:formula1>
          <xm:sqref>I7:J9</xm:sqref>
        </x14:dataValidation>
        <x14:dataValidation type="list" allowBlank="1" showInputMessage="1" showErrorMessage="1" xr:uid="{2902EFF7-49A2-422E-893D-A30C7A54037D}">
          <x14:formula1>
            <xm:f>Tables!$C$369:$C$370</xm:f>
          </x14:formula1>
          <xm:sqref>C18 C12</xm:sqref>
        </x14:dataValidation>
        <x14:dataValidation type="list" allowBlank="1" showInputMessage="1" showErrorMessage="1" xr:uid="{18DB7B87-0518-4096-A687-969BB9548E33}">
          <x14:formula1>
            <xm:f>Tables!$C$365:$C$366</xm:f>
          </x14:formula1>
          <xm:sqref>C13 C19</xm:sqref>
        </x14:dataValidation>
        <x14:dataValidation type="list" allowBlank="1" showInputMessage="1" showErrorMessage="1" xr:uid="{235FB8B3-E6D0-44D7-BA37-65BFA8C07307}">
          <x14:formula1>
            <xm:f>Tables_Brokers!$A$354:$A$421</xm:f>
          </x14:formula1>
          <xm:sqref>D24</xm:sqref>
        </x14:dataValidation>
        <x14:dataValidation type="list" allowBlank="1" showInputMessage="1" showErrorMessage="1" xr:uid="{5E2B22E8-C044-4D9B-8363-9BBC0FDD3241}">
          <x14:formula1>
            <xm:f>Tables!$F$4:$F$5</xm:f>
          </x14:formula1>
          <xm:sqref>J66:L66</xm:sqref>
        </x14:dataValidation>
        <x14:dataValidation type="list" allowBlank="1" showInputMessage="1" showErrorMessage="1" xr:uid="{EC892940-813B-42DC-94D8-DD3611B55D17}">
          <x14:formula1>
            <xm:f>Tables!$D$4:$D$9</xm:f>
          </x14:formula1>
          <xm:sqref>J54:L54</xm:sqref>
        </x14:dataValidation>
        <x14:dataValidation type="list" allowBlank="1" showInputMessage="1" showErrorMessage="1" xr:uid="{0FF6F219-704F-42C6-B4D5-0F89BC9B6944}">
          <x14:formula1>
            <xm:f>Tables!$A$4:$A$8</xm:f>
          </x14:formula1>
          <xm:sqref>J58:L58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7A86-8866-4541-929F-4B6896797FD9}">
  <sheetPr codeName="Sheet1"/>
  <dimension ref="A1:M22"/>
  <sheetViews>
    <sheetView zoomScale="90" zoomScaleNormal="90" workbookViewId="0">
      <selection activeCell="B5" sqref="B5"/>
    </sheetView>
  </sheetViews>
  <sheetFormatPr defaultRowHeight="12.75"/>
  <cols>
    <col min="1" max="1" width="86.42578125" customWidth="1"/>
    <col min="2" max="2" width="14.85546875" customWidth="1"/>
    <col min="12" max="13" width="0" hidden="1" customWidth="1"/>
  </cols>
  <sheetData>
    <row r="1" spans="1:13" s="654" customFormat="1" ht="21.75" customHeight="1">
      <c r="A1" s="658" t="s">
        <v>519</v>
      </c>
      <c r="B1" s="653"/>
    </row>
    <row r="2" spans="1:13" s="654" customFormat="1" ht="15.75">
      <c r="B2" s="653"/>
      <c r="D2" s="653" t="s">
        <v>520</v>
      </c>
    </row>
    <row r="3" spans="1:13" s="654" customFormat="1" ht="15.75">
      <c r="A3" s="653" t="s">
        <v>521</v>
      </c>
      <c r="B3" s="653" t="s">
        <v>522</v>
      </c>
    </row>
    <row r="4" spans="1:13" s="654" customFormat="1" ht="15.75">
      <c r="A4" s="655"/>
      <c r="M4" s="654" t="s">
        <v>270</v>
      </c>
    </row>
    <row r="5" spans="1:13" s="654" customFormat="1" ht="15.75">
      <c r="A5" s="655" t="s">
        <v>523</v>
      </c>
      <c r="B5" s="664"/>
      <c r="C5" s="656"/>
      <c r="M5" s="654" t="s">
        <v>271</v>
      </c>
    </row>
    <row r="6" spans="1:13" s="654" customFormat="1" ht="15.75">
      <c r="A6" s="655"/>
    </row>
    <row r="7" spans="1:13" s="654" customFormat="1" ht="15.75">
      <c r="A7" s="655" t="s">
        <v>524</v>
      </c>
      <c r="B7" s="664"/>
    </row>
    <row r="8" spans="1:13" s="654" customFormat="1" ht="15.75">
      <c r="A8" s="655"/>
    </row>
    <row r="9" spans="1:13" s="654" customFormat="1" ht="15.75">
      <c r="A9" s="655" t="s">
        <v>525</v>
      </c>
      <c r="B9" s="664"/>
    </row>
    <row r="10" spans="1:13" s="654" customFormat="1" ht="15.75">
      <c r="A10" s="655"/>
    </row>
    <row r="11" spans="1:13" s="654" customFormat="1" ht="15.75">
      <c r="A11" s="655" t="s">
        <v>526</v>
      </c>
      <c r="B11" s="664"/>
    </row>
    <row r="12" spans="1:13" s="654" customFormat="1" ht="15.75">
      <c r="A12" s="655"/>
    </row>
    <row r="13" spans="1:13" s="654" customFormat="1" ht="15.75">
      <c r="A13" s="655" t="s">
        <v>527</v>
      </c>
      <c r="B13" s="664"/>
    </row>
    <row r="14" spans="1:13" s="654" customFormat="1" ht="15.75">
      <c r="A14" s="659" t="s">
        <v>528</v>
      </c>
    </row>
    <row r="15" spans="1:13" s="654" customFormat="1" ht="15.75">
      <c r="A15" s="655" t="s">
        <v>529</v>
      </c>
      <c r="B15" s="664"/>
    </row>
    <row r="16" spans="1:13" s="654" customFormat="1" ht="15.75">
      <c r="A16" s="659" t="s">
        <v>528</v>
      </c>
      <c r="B16" s="657"/>
    </row>
    <row r="17" spans="1:2" s="654" customFormat="1" ht="15.75">
      <c r="A17" s="655" t="s">
        <v>530</v>
      </c>
      <c r="B17" s="664"/>
    </row>
    <row r="18" spans="1:2" s="654" customFormat="1" ht="15.75">
      <c r="A18" s="655"/>
    </row>
    <row r="19" spans="1:2" s="654" customFormat="1" ht="14.25" customHeight="1">
      <c r="A19" s="655" t="s">
        <v>531</v>
      </c>
      <c r="B19" s="664"/>
    </row>
    <row r="20" spans="1:2" s="654" customFormat="1" ht="15.75"/>
    <row r="21" spans="1:2" s="654" customFormat="1" ht="15.75">
      <c r="A21" s="654" t="s">
        <v>532</v>
      </c>
      <c r="B21" s="664"/>
    </row>
    <row r="22" spans="1:2" s="654" customFormat="1" ht="15.75"/>
  </sheetData>
  <sheetProtection algorithmName="SHA-512" hashValue="mKur6GPZ3EKuZKuciuIqFno1WDsN6z6N835D6HQlW3EaUcvBj4p7qQUR1CPhaITljhg0esSzEShWc13d66u8DA==" saltValue="uPlPEdcIb477Ig7QyuZykw==" spinCount="100000" sheet="1" selectLockedCells="1"/>
  <protectedRanges>
    <protectedRange sqref="B5 B21 B7" name="Range1"/>
  </protectedRanges>
  <dataValidations count="1">
    <dataValidation type="list" allowBlank="1" showInputMessage="1" showErrorMessage="1" sqref="B5 B9 B11 B13 B19 B21 B15 B7" xr:uid="{A795B48C-E3B1-41A5-BB25-5306C19F90D3}">
      <formula1>$M$4:$M$5</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413C-2B58-44C9-BF40-B5EB34A98118}">
  <dimension ref="B1:F25"/>
  <sheetViews>
    <sheetView workbookViewId="0">
      <selection activeCell="C4" sqref="C4"/>
    </sheetView>
  </sheetViews>
  <sheetFormatPr defaultRowHeight="12.75"/>
  <cols>
    <col min="1" max="1" width="2.85546875" customWidth="1"/>
    <col min="2" max="2" width="41.28515625" bestFit="1" customWidth="1"/>
    <col min="3" max="3" width="14.140625" style="46" customWidth="1"/>
    <col min="5" max="5" width="29.140625" bestFit="1" customWidth="1"/>
    <col min="6" max="6" width="14.42578125" customWidth="1"/>
  </cols>
  <sheetData>
    <row r="1" spans="2:6">
      <c r="B1" s="368" t="s">
        <v>533</v>
      </c>
    </row>
    <row r="2" spans="2:6" ht="13.5" thickBot="1"/>
    <row r="3" spans="2:6">
      <c r="B3" s="567" t="s">
        <v>534</v>
      </c>
      <c r="C3" s="568"/>
      <c r="E3" s="567" t="s">
        <v>535</v>
      </c>
      <c r="F3" s="581"/>
    </row>
    <row r="4" spans="2:6">
      <c r="B4" s="569" t="s">
        <v>536</v>
      </c>
      <c r="C4" s="570"/>
      <c r="E4" s="569" t="s">
        <v>537</v>
      </c>
      <c r="F4" s="582"/>
    </row>
    <row r="5" spans="2:6">
      <c r="B5" s="569" t="s">
        <v>538</v>
      </c>
      <c r="C5" s="571">
        <v>0</v>
      </c>
      <c r="E5" s="569" t="s">
        <v>539</v>
      </c>
      <c r="F5" s="583">
        <v>6</v>
      </c>
    </row>
    <row r="6" spans="2:6">
      <c r="B6" s="569" t="s">
        <v>540</v>
      </c>
      <c r="C6" s="572"/>
      <c r="E6" s="569" t="s">
        <v>541</v>
      </c>
      <c r="F6" s="584">
        <v>2.1999999999999999E-2</v>
      </c>
    </row>
    <row r="7" spans="2:6">
      <c r="B7" s="569" t="s">
        <v>542</v>
      </c>
      <c r="C7" s="571"/>
      <c r="E7" s="585"/>
      <c r="F7" s="586"/>
    </row>
    <row r="8" spans="2:6">
      <c r="B8" s="569" t="s">
        <v>543</v>
      </c>
      <c r="C8" s="573"/>
      <c r="E8" s="585"/>
      <c r="F8" s="586"/>
    </row>
    <row r="9" spans="2:6">
      <c r="B9" s="569" t="s">
        <v>544</v>
      </c>
      <c r="C9" s="573"/>
      <c r="E9" s="569" t="s">
        <v>545</v>
      </c>
      <c r="F9" s="571"/>
    </row>
    <row r="10" spans="2:6">
      <c r="B10" s="569" t="s">
        <v>546</v>
      </c>
      <c r="C10" s="574">
        <f>SUM(C4:C9)</f>
        <v>0</v>
      </c>
      <c r="E10" s="569" t="s">
        <v>547</v>
      </c>
      <c r="F10" s="571"/>
    </row>
    <row r="11" spans="2:6" ht="13.5" thickBot="1">
      <c r="B11" s="569" t="s">
        <v>548</v>
      </c>
      <c r="C11" s="572">
        <f>+C10*F4/12*F5</f>
        <v>0</v>
      </c>
      <c r="E11" s="579" t="s">
        <v>549</v>
      </c>
      <c r="F11" s="587"/>
    </row>
    <row r="12" spans="2:6" ht="13.5" thickBot="1">
      <c r="B12" s="575" t="s">
        <v>550</v>
      </c>
      <c r="C12" s="576">
        <f>C10+C11</f>
        <v>0</v>
      </c>
    </row>
    <row r="13" spans="2:6">
      <c r="B13" s="575"/>
      <c r="C13" s="577"/>
    </row>
    <row r="14" spans="2:6">
      <c r="B14" s="569" t="s">
        <v>551</v>
      </c>
      <c r="C14" s="578">
        <f>SUM(F9:F11)</f>
        <v>0</v>
      </c>
    </row>
    <row r="15" spans="2:6" ht="13.5" thickBot="1">
      <c r="B15" s="579" t="s">
        <v>54</v>
      </c>
      <c r="C15" s="588" t="e">
        <f>+C12/C14</f>
        <v>#DIV/0!</v>
      </c>
    </row>
    <row r="16" spans="2:6" ht="13.5" thickBot="1"/>
    <row r="17" spans="2:3">
      <c r="B17" s="567" t="s">
        <v>552</v>
      </c>
      <c r="C17" s="568"/>
    </row>
    <row r="18" spans="2:3">
      <c r="B18" s="569" t="s">
        <v>70</v>
      </c>
      <c r="C18" s="578">
        <f>+C12</f>
        <v>0</v>
      </c>
    </row>
    <row r="19" spans="2:3">
      <c r="B19" s="569" t="s">
        <v>553</v>
      </c>
      <c r="C19" s="580">
        <f>-F9</f>
        <v>0</v>
      </c>
    </row>
    <row r="20" spans="2:3">
      <c r="B20" s="569" t="s">
        <v>554</v>
      </c>
      <c r="C20" s="571">
        <f>+F9*F6</f>
        <v>0</v>
      </c>
    </row>
    <row r="21" spans="2:3">
      <c r="B21" s="569" t="s">
        <v>555</v>
      </c>
      <c r="C21" s="571">
        <f>+F10*F7</f>
        <v>0</v>
      </c>
    </row>
    <row r="22" spans="2:3" ht="13.5" thickBot="1">
      <c r="B22" s="575" t="s">
        <v>556</v>
      </c>
      <c r="C22" s="576">
        <f>SUM(C18:C21)</f>
        <v>0</v>
      </c>
    </row>
    <row r="23" spans="2:3">
      <c r="B23" s="575"/>
      <c r="C23" s="577"/>
    </row>
    <row r="24" spans="2:3">
      <c r="B24" s="569" t="s">
        <v>551</v>
      </c>
      <c r="C24" s="578">
        <f>+SUM(F10:F11)</f>
        <v>0</v>
      </c>
    </row>
    <row r="25" spans="2:3" ht="13.5" thickBot="1">
      <c r="B25" s="579" t="s">
        <v>54</v>
      </c>
      <c r="C25" s="588" t="e">
        <f>+C22/C24</f>
        <v>#DIV/0!</v>
      </c>
    </row>
  </sheetData>
  <sheetProtection algorithmName="SHA-512" hashValue="XAV6MKEF8ZZYACdZ6u7FZYLloK9Dr0VCe7wBl4pfTambkygSnkMgvshoLCrsLBgzDqXXVFXEOY+q3/hjQmXhjQ==" saltValue="ubUhCSHid1p/aqLxfAn/0A==" spinCount="100000" sheet="1" objects="1" scenarios="1" select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21"/>
  <sheetViews>
    <sheetView workbookViewId="0">
      <selection activeCell="B4" sqref="B4:C4"/>
    </sheetView>
  </sheetViews>
  <sheetFormatPr defaultColWidth="9.140625" defaultRowHeight="12.75"/>
  <cols>
    <col min="1" max="1" width="10.85546875" style="111" customWidth="1"/>
    <col min="2" max="4" width="9" style="111" customWidth="1"/>
    <col min="5" max="5" width="100.140625" style="111" customWidth="1"/>
    <col min="6" max="6" width="9.140625" style="111"/>
    <col min="7" max="7" width="9" style="111" bestFit="1" customWidth="1"/>
    <col min="8" max="8" width="9" style="111" customWidth="1"/>
    <col min="9" max="10" width="9.140625" style="111"/>
    <col min="11" max="11" width="9" style="111" bestFit="1" customWidth="1"/>
    <col min="12" max="12" width="9" style="111" customWidth="1"/>
    <col min="13" max="13" width="6.7109375" style="111" bestFit="1" customWidth="1"/>
    <col min="14" max="14" width="6.7109375" style="111" customWidth="1"/>
    <col min="15" max="15" width="9" style="111" bestFit="1" customWidth="1"/>
    <col min="16" max="16" width="9" style="111" customWidth="1"/>
    <col min="17" max="17" width="6.7109375" style="111" bestFit="1" customWidth="1"/>
    <col min="18" max="18" width="6.7109375" style="111" customWidth="1"/>
    <col min="19" max="19" width="9" style="111" bestFit="1" customWidth="1"/>
    <col min="20" max="20" width="9" style="111" customWidth="1"/>
    <col min="21" max="21" width="6.7109375" style="111" bestFit="1" customWidth="1"/>
    <col min="22" max="22" width="6.7109375" style="111" customWidth="1"/>
    <col min="23" max="23" width="9" style="111" bestFit="1" customWidth="1"/>
    <col min="24" max="24" width="9" style="111" customWidth="1"/>
    <col min="25" max="25" width="6.7109375" style="111" bestFit="1" customWidth="1"/>
    <col min="26" max="26" width="9" style="111" bestFit="1" customWidth="1"/>
    <col min="27" max="27" width="6.7109375" style="111" bestFit="1" customWidth="1"/>
    <col min="28" max="28" width="9" style="111" bestFit="1" customWidth="1"/>
    <col min="29" max="16384" width="9.140625" style="111"/>
  </cols>
  <sheetData>
    <row r="1" spans="1:28" ht="18.75">
      <c r="A1" s="744"/>
      <c r="B1" s="745"/>
    </row>
    <row r="2" spans="1:28">
      <c r="A2" s="745"/>
      <c r="B2" s="745"/>
    </row>
    <row r="3" spans="1:28">
      <c r="A3" s="745"/>
      <c r="B3" s="745"/>
      <c r="D3" s="753"/>
      <c r="E3" s="753"/>
      <c r="F3" s="753"/>
    </row>
    <row r="4" spans="1:28" ht="21">
      <c r="A4" s="745"/>
      <c r="B4" s="920"/>
      <c r="C4" s="920"/>
      <c r="D4" s="753"/>
      <c r="E4" s="754" t="s">
        <v>1655</v>
      </c>
      <c r="F4" s="754"/>
      <c r="G4" s="748"/>
      <c r="H4" s="748"/>
      <c r="I4" s="748"/>
      <c r="J4" s="748"/>
      <c r="K4" s="748"/>
    </row>
    <row r="5" spans="1:28">
      <c r="A5" s="745"/>
      <c r="B5" s="745"/>
      <c r="D5" s="753"/>
      <c r="E5" s="753"/>
      <c r="F5" s="753"/>
    </row>
    <row r="6" spans="1:28" ht="28.5">
      <c r="D6" s="753"/>
      <c r="E6" s="755" t="s">
        <v>1656</v>
      </c>
      <c r="F6" s="756"/>
      <c r="G6" s="749"/>
      <c r="H6" s="749"/>
      <c r="I6" s="749"/>
      <c r="J6" s="749"/>
      <c r="K6" s="750"/>
      <c r="L6" s="750"/>
      <c r="M6" s="750"/>
      <c r="N6" s="750"/>
      <c r="O6" s="750"/>
      <c r="P6" s="750"/>
      <c r="Q6" s="750"/>
    </row>
    <row r="7" spans="1:28">
      <c r="A7" s="746"/>
      <c r="B7" s="746"/>
      <c r="C7" s="746"/>
      <c r="D7" s="757"/>
      <c r="E7" s="753"/>
      <c r="F7" s="753"/>
      <c r="S7" s="146"/>
      <c r="T7" s="564"/>
      <c r="V7" s="146"/>
      <c r="W7" s="146"/>
      <c r="X7" s="564"/>
      <c r="AA7" s="921"/>
      <c r="AB7" s="921"/>
    </row>
    <row r="8" spans="1:28">
      <c r="A8" s="745"/>
      <c r="B8" s="745"/>
      <c r="C8" s="745"/>
      <c r="D8" s="745"/>
      <c r="E8" s="745"/>
      <c r="F8" s="745"/>
      <c r="G8" s="745"/>
      <c r="H8" s="745"/>
      <c r="I8" s="745"/>
      <c r="J8" s="745"/>
      <c r="K8" s="745"/>
      <c r="L8" s="745"/>
      <c r="M8" s="745"/>
      <c r="N8" s="745"/>
      <c r="O8" s="745"/>
      <c r="P8" s="745"/>
    </row>
    <row r="16" spans="1:28">
      <c r="T16" s="747"/>
    </row>
    <row r="18" spans="11:15">
      <c r="O18" s="745"/>
    </row>
    <row r="32" spans="11:15">
      <c r="K32" s="745"/>
    </row>
    <row r="34" spans="9:9">
      <c r="I34" s="745"/>
    </row>
    <row r="299" spans="4:4">
      <c r="D299"/>
    </row>
    <row r="416" spans="3:3">
      <c r="C416" s="147"/>
    </row>
    <row r="417" spans="1:3">
      <c r="C417" s="147"/>
    </row>
    <row r="418" spans="1:3">
      <c r="C418" s="147"/>
    </row>
    <row r="421" spans="1:3">
      <c r="A421" s="111">
        <v>2871</v>
      </c>
      <c r="B421" s="111" t="s">
        <v>557</v>
      </c>
    </row>
  </sheetData>
  <sheetProtection algorithmName="SHA-512" hashValue="9UlBO3J8/LbjWd+PHOkndipZI+zO5NX8u4aP9n0VfY4rVBqUluX1JpGcY4+rk6V9ntXVUg3GoT0tCBkvIAi1qg==" saltValue="TK++DYNxI8LSNTaYBivyLw==" spinCount="100000" sheet="1" selectLockedCells="1"/>
  <mergeCells count="2">
    <mergeCell ref="B4:C4"/>
    <mergeCell ref="AA7:AB7"/>
  </mergeCells>
  <dataValidations count="1">
    <dataValidation type="whole" allowBlank="1" showInputMessage="1" showErrorMessage="1" sqref="B4" xr:uid="{7C0A9712-4F48-4FB4-BECB-D6761087C874}">
      <formula1>0</formula1>
      <formula2>9999</formula2>
    </dataValidation>
  </dataValidations>
  <hyperlinks>
    <hyperlink ref="E6" r:id="rId1" display="https://aus01.safelinks.protection.outlook.com/?url=https%3A%2F%2Fwww.qbe.com%2Flmi%2Ftools-resources%2Flocation-wizard&amp;data=05%7C02%7Cktowerton%40movebank.com.au%7Cce7fc65e31ef4d5dea3108dddf897a96%7C4bdbf541cf8b455e932c43a10d297075%7C0%7C0%7C638912504129635397%7CUnknown%7CTWFpbGZsb3d8eyJFbXB0eU1hcGkiOnRydWUsIlYiOiIwLjAuMDAwMCIsIlAiOiJXaW4zMiIsIkFOIjoiTWFpbCIsIldUIjoyfQ%3D%3D%7C0%7C%7C%7C&amp;sdata=gelLo6ts12OTCh0zLVFSB%2Bm9nR8iwihugFDocm3eipM%3D&amp;reserved=0" xr:uid="{5680004A-53EB-4209-80D1-BE092CDA072E}"/>
  </hyperlinks>
  <pageMargins left="0.7" right="0.7" top="0.75" bottom="0.75" header="0.3" footer="0.3"/>
  <pageSetup paperSize="9"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209B8-AAB7-4C91-99C3-71815ECBC110}">
  <dimension ref="A1:V34"/>
  <sheetViews>
    <sheetView zoomScale="85" zoomScaleNormal="85" workbookViewId="0">
      <selection activeCell="Y22" sqref="Y22"/>
    </sheetView>
  </sheetViews>
  <sheetFormatPr defaultColWidth="8.7109375" defaultRowHeight="15"/>
  <cols>
    <col min="1" max="1" width="8.7109375" style="730"/>
    <col min="2" max="2" width="32.7109375" style="730" bestFit="1" customWidth="1"/>
    <col min="3" max="3" width="10.140625" style="730" bestFit="1" customWidth="1"/>
    <col min="4" max="4" width="17" style="730" customWidth="1"/>
    <col min="5" max="6" width="8.7109375" style="730"/>
    <col min="7" max="7" width="29.42578125" style="730" bestFit="1" customWidth="1"/>
    <col min="8" max="8" width="6.7109375" style="730" bestFit="1" customWidth="1"/>
    <col min="9" max="9" width="19.28515625" style="730" customWidth="1"/>
    <col min="10" max="11" width="8.7109375" style="730"/>
    <col min="12" max="12" width="24" style="730" customWidth="1"/>
    <col min="13" max="16384" width="8.7109375" style="730"/>
  </cols>
  <sheetData>
    <row r="1" spans="1:22" ht="21">
      <c r="A1" s="728"/>
      <c r="B1" s="728"/>
      <c r="C1" s="728"/>
      <c r="D1" s="728"/>
      <c r="E1" s="729"/>
      <c r="F1" s="728"/>
      <c r="G1" s="728"/>
      <c r="H1" s="728"/>
      <c r="I1" s="728"/>
      <c r="J1" s="728"/>
      <c r="K1" s="728"/>
      <c r="L1" s="728"/>
      <c r="M1" s="728"/>
      <c r="N1" s="728"/>
      <c r="O1" s="728"/>
      <c r="P1" s="728"/>
      <c r="Q1" s="728"/>
      <c r="R1" s="728"/>
      <c r="S1" s="728"/>
      <c r="T1" s="728"/>
      <c r="U1" s="728"/>
      <c r="V1" s="728"/>
    </row>
    <row r="2" spans="1:22" ht="21">
      <c r="A2" s="728"/>
      <c r="B2" s="729" t="s">
        <v>1654</v>
      </c>
      <c r="C2" s="728"/>
      <c r="D2" s="729"/>
      <c r="E2" s="729"/>
      <c r="F2" s="728"/>
      <c r="G2" s="728"/>
      <c r="H2" s="728"/>
      <c r="I2" s="728"/>
      <c r="J2" s="728"/>
      <c r="K2" s="728"/>
      <c r="L2" s="728"/>
      <c r="M2" s="728"/>
      <c r="N2" s="728"/>
      <c r="O2" s="728"/>
      <c r="P2" s="728"/>
      <c r="Q2" s="728"/>
      <c r="R2" s="728"/>
      <c r="S2" s="728"/>
      <c r="T2" s="728"/>
      <c r="U2" s="728"/>
      <c r="V2" s="728"/>
    </row>
    <row r="3" spans="1:22" ht="21">
      <c r="B3" s="731"/>
      <c r="D3" s="732"/>
      <c r="F3" s="732"/>
      <c r="G3" s="731"/>
      <c r="I3" s="731"/>
      <c r="J3" s="731"/>
      <c r="K3" s="731"/>
      <c r="L3" s="731"/>
      <c r="M3" s="731"/>
    </row>
    <row r="4" spans="1:22" ht="21">
      <c r="D4" s="733" t="s">
        <v>1653</v>
      </c>
      <c r="F4" s="732"/>
      <c r="I4" s="733" t="s">
        <v>1652</v>
      </c>
      <c r="J4" s="733"/>
      <c r="L4" s="733" t="s">
        <v>1651</v>
      </c>
    </row>
    <row r="5" spans="1:22">
      <c r="B5" s="733" t="s">
        <v>1650</v>
      </c>
      <c r="D5" s="727"/>
      <c r="G5" s="733" t="s">
        <v>1650</v>
      </c>
      <c r="I5" s="727"/>
      <c r="J5" s="733"/>
      <c r="L5" s="733"/>
      <c r="M5" s="733"/>
      <c r="N5" s="922"/>
      <c r="O5" s="923"/>
      <c r="P5" s="923"/>
      <c r="Q5" s="923"/>
      <c r="R5" s="923"/>
      <c r="S5" s="923"/>
      <c r="T5" s="923"/>
      <c r="U5" s="923"/>
      <c r="V5" s="924"/>
    </row>
    <row r="6" spans="1:22">
      <c r="J6" s="733"/>
      <c r="N6" s="925"/>
      <c r="O6" s="926"/>
      <c r="P6" s="926"/>
      <c r="Q6" s="926"/>
      <c r="R6" s="926"/>
      <c r="S6" s="926"/>
      <c r="T6" s="926"/>
      <c r="U6" s="926"/>
      <c r="V6" s="927"/>
    </row>
    <row r="7" spans="1:22">
      <c r="B7" s="730" t="s">
        <v>1649</v>
      </c>
      <c r="D7" s="720"/>
      <c r="G7" s="730" t="s">
        <v>1649</v>
      </c>
      <c r="I7" s="720"/>
      <c r="J7" s="733"/>
      <c r="L7" s="734" t="e">
        <f>AVERAGE(D7,I7)</f>
        <v>#DIV/0!</v>
      </c>
      <c r="N7" s="925"/>
      <c r="O7" s="926"/>
      <c r="P7" s="926"/>
      <c r="Q7" s="926"/>
      <c r="R7" s="926"/>
      <c r="S7" s="926"/>
      <c r="T7" s="926"/>
      <c r="U7" s="926"/>
      <c r="V7" s="927"/>
    </row>
    <row r="8" spans="1:22">
      <c r="B8" s="730" t="s">
        <v>1648</v>
      </c>
      <c r="D8" s="720"/>
      <c r="G8" s="730" t="s">
        <v>1648</v>
      </c>
      <c r="I8" s="720"/>
      <c r="J8" s="733"/>
      <c r="L8" s="734" t="e">
        <f>AVERAGE(D8,I8)</f>
        <v>#DIV/0!</v>
      </c>
      <c r="N8" s="925"/>
      <c r="O8" s="926"/>
      <c r="P8" s="926"/>
      <c r="Q8" s="926"/>
      <c r="R8" s="926"/>
      <c r="S8" s="926"/>
      <c r="T8" s="926"/>
      <c r="U8" s="926"/>
      <c r="V8" s="927"/>
    </row>
    <row r="9" spans="1:22">
      <c r="J9" s="733"/>
      <c r="L9" s="734"/>
      <c r="N9" s="925"/>
      <c r="O9" s="926"/>
      <c r="P9" s="926"/>
      <c r="Q9" s="926"/>
      <c r="R9" s="926"/>
      <c r="S9" s="926"/>
      <c r="T9" s="926"/>
      <c r="U9" s="926"/>
      <c r="V9" s="927"/>
    </row>
    <row r="10" spans="1:22">
      <c r="B10" s="730" t="s">
        <v>1647</v>
      </c>
      <c r="D10" s="720"/>
      <c r="G10" s="730" t="s">
        <v>1646</v>
      </c>
      <c r="I10" s="720"/>
      <c r="J10" s="733"/>
      <c r="L10" s="734" t="e">
        <f>AVERAGE(D10,I10)</f>
        <v>#DIV/0!</v>
      </c>
      <c r="N10" s="925"/>
      <c r="O10" s="926"/>
      <c r="P10" s="926"/>
      <c r="Q10" s="926"/>
      <c r="R10" s="926"/>
      <c r="S10" s="926"/>
      <c r="T10" s="926"/>
      <c r="U10" s="926"/>
      <c r="V10" s="927"/>
    </row>
    <row r="11" spans="1:22">
      <c r="B11" s="730" t="s">
        <v>1645</v>
      </c>
      <c r="D11" s="720"/>
      <c r="G11" s="730" t="s">
        <v>1645</v>
      </c>
      <c r="I11" s="720"/>
      <c r="J11" s="733"/>
      <c r="L11" s="734"/>
      <c r="N11" s="928"/>
      <c r="O11" s="929"/>
      <c r="P11" s="929"/>
      <c r="Q11" s="929"/>
      <c r="R11" s="929"/>
      <c r="S11" s="929"/>
      <c r="T11" s="929"/>
      <c r="U11" s="929"/>
      <c r="V11" s="930"/>
    </row>
    <row r="12" spans="1:22" ht="15.75" thickBot="1">
      <c r="J12" s="733"/>
    </row>
    <row r="13" spans="1:22" ht="16.5" thickTop="1" thickBot="1">
      <c r="B13" s="726" t="s">
        <v>1644</v>
      </c>
      <c r="C13" s="726"/>
      <c r="D13" s="723">
        <f>D7+D8-D10-D11</f>
        <v>0</v>
      </c>
      <c r="G13" s="726" t="s">
        <v>1644</v>
      </c>
      <c r="H13" s="726"/>
      <c r="I13" s="723">
        <f>I7+I8-I10</f>
        <v>0</v>
      </c>
      <c r="J13" s="733"/>
      <c r="L13" s="735">
        <f>AVERAGE(D13,I13)</f>
        <v>0</v>
      </c>
    </row>
    <row r="14" spans="1:22" ht="15.75" thickTop="1">
      <c r="B14" s="736" t="s">
        <v>1643</v>
      </c>
      <c r="D14" s="720"/>
      <c r="G14" s="736" t="s">
        <v>1643</v>
      </c>
      <c r="I14" s="720">
        <f>I8</f>
        <v>0</v>
      </c>
      <c r="J14" s="733"/>
    </row>
    <row r="15" spans="1:22" ht="15.75" thickBot="1">
      <c r="J15" s="733"/>
    </row>
    <row r="16" spans="1:22" ht="16.5" thickTop="1" thickBot="1">
      <c r="B16" s="726" t="s">
        <v>1642</v>
      </c>
      <c r="C16" s="726"/>
      <c r="D16" s="723">
        <f>D13-D14</f>
        <v>0</v>
      </c>
      <c r="G16" s="726" t="s">
        <v>1642</v>
      </c>
      <c r="H16" s="726"/>
      <c r="I16" s="723">
        <f>I13-I14</f>
        <v>0</v>
      </c>
      <c r="J16" s="733"/>
      <c r="L16" s="737">
        <f>AVERAGE(D16,I16)</f>
        <v>0</v>
      </c>
      <c r="M16" s="738"/>
    </row>
    <row r="17" spans="2:14" ht="15.75" thickTop="1">
      <c r="J17" s="733"/>
    </row>
    <row r="18" spans="2:14">
      <c r="B18" s="733" t="s">
        <v>1641</v>
      </c>
      <c r="G18" s="733" t="s">
        <v>1641</v>
      </c>
      <c r="J18" s="733"/>
    </row>
    <row r="19" spans="2:14">
      <c r="B19" s="736" t="s">
        <v>1640</v>
      </c>
      <c r="D19" s="720"/>
      <c r="G19" s="736" t="s">
        <v>1640</v>
      </c>
      <c r="I19" s="720"/>
      <c r="J19" s="733"/>
    </row>
    <row r="20" spans="2:14">
      <c r="B20" s="736" t="s">
        <v>1639</v>
      </c>
      <c r="D20" s="720"/>
      <c r="G20" s="736" t="s">
        <v>1639</v>
      </c>
      <c r="I20" s="720"/>
      <c r="J20" s="733"/>
    </row>
    <row r="21" spans="2:14" ht="15.75" thickBot="1">
      <c r="J21" s="733"/>
    </row>
    <row r="22" spans="2:14" ht="16.5" thickTop="1" thickBot="1">
      <c r="B22" s="726" t="s">
        <v>1638</v>
      </c>
      <c r="C22" s="726"/>
      <c r="D22" s="723">
        <f>+D19+D20</f>
        <v>0</v>
      </c>
      <c r="G22" s="726" t="s">
        <v>1638</v>
      </c>
      <c r="H22" s="726"/>
      <c r="I22" s="723">
        <f>+I19+I20</f>
        <v>0</v>
      </c>
      <c r="J22" s="733"/>
      <c r="L22" s="737">
        <f>AVERAGE(D22,I22)</f>
        <v>0</v>
      </c>
    </row>
    <row r="23" spans="2:14" ht="16.5" thickTop="1" thickBot="1">
      <c r="J23" s="733"/>
    </row>
    <row r="24" spans="2:14" ht="24.75" thickTop="1" thickBot="1">
      <c r="B24" s="726" t="s">
        <v>1637</v>
      </c>
      <c r="C24" s="726"/>
      <c r="D24" s="723">
        <f>D22+D16</f>
        <v>0</v>
      </c>
      <c r="G24" s="726" t="s">
        <v>1637</v>
      </c>
      <c r="H24" s="726"/>
      <c r="I24" s="723">
        <f>I22+I16</f>
        <v>0</v>
      </c>
      <c r="J24" s="733"/>
      <c r="L24" s="725">
        <f>AVERAGE(D24,I24)</f>
        <v>0</v>
      </c>
    </row>
    <row r="25" spans="2:14" ht="15.75" thickTop="1">
      <c r="J25" s="733"/>
    </row>
    <row r="26" spans="2:14">
      <c r="B26" s="931" t="s">
        <v>1636</v>
      </c>
      <c r="C26" s="932"/>
      <c r="D26" s="933"/>
      <c r="G26" s="931" t="s">
        <v>1636</v>
      </c>
      <c r="H26" s="932"/>
      <c r="I26" s="933"/>
    </row>
    <row r="27" spans="2:14" ht="15.75" thickBot="1">
      <c r="B27" s="739"/>
      <c r="C27" s="739" t="s">
        <v>1635</v>
      </c>
      <c r="D27" s="739" t="s">
        <v>1634</v>
      </c>
      <c r="G27" s="739"/>
      <c r="H27" s="739" t="s">
        <v>1635</v>
      </c>
      <c r="I27" s="739" t="s">
        <v>1634</v>
      </c>
      <c r="K27" s="740"/>
    </row>
    <row r="28" spans="2:14" ht="16.5" thickTop="1" thickBot="1">
      <c r="B28" s="741" t="s">
        <v>1</v>
      </c>
      <c r="C28" s="724"/>
      <c r="D28" s="723">
        <f>C28*D24</f>
        <v>0</v>
      </c>
      <c r="G28" s="741" t="s">
        <v>1</v>
      </c>
      <c r="H28" s="724"/>
      <c r="I28" s="723">
        <f>I24*H28</f>
        <v>0</v>
      </c>
    </row>
    <row r="29" spans="2:14" ht="16.5" thickTop="1" thickBot="1">
      <c r="B29" s="741" t="s">
        <v>3</v>
      </c>
      <c r="C29" s="724"/>
      <c r="D29" s="723">
        <f>C29*D24</f>
        <v>0</v>
      </c>
      <c r="G29" s="741" t="s">
        <v>3</v>
      </c>
      <c r="H29" s="724"/>
      <c r="I29" s="723">
        <f>H29*H24</f>
        <v>0</v>
      </c>
    </row>
    <row r="30" spans="2:14" ht="16.5" thickTop="1" thickBot="1"/>
    <row r="31" spans="2:14" ht="16.5" thickTop="1" thickBot="1">
      <c r="B31" s="934" t="s">
        <v>1633</v>
      </c>
      <c r="C31" s="934"/>
      <c r="D31" s="934"/>
      <c r="G31" s="935" t="s">
        <v>1633</v>
      </c>
      <c r="H31" s="935"/>
      <c r="I31" s="935"/>
    </row>
    <row r="32" spans="2:14" ht="15.75" thickTop="1">
      <c r="B32" s="721">
        <f>D5</f>
        <v>0</v>
      </c>
      <c r="C32" s="721" t="s">
        <v>1631</v>
      </c>
      <c r="D32" s="721" t="s">
        <v>1632</v>
      </c>
      <c r="E32" s="721" t="s">
        <v>1629</v>
      </c>
      <c r="G32" s="722">
        <f>I5</f>
        <v>0</v>
      </c>
      <c r="H32" s="722" t="s">
        <v>1631</v>
      </c>
      <c r="I32" s="722" t="s">
        <v>1630</v>
      </c>
      <c r="J32" s="721" t="s">
        <v>1629</v>
      </c>
      <c r="N32" s="742"/>
    </row>
    <row r="33" spans="2:10">
      <c r="B33" s="741" t="s">
        <v>1</v>
      </c>
      <c r="C33" s="743"/>
      <c r="D33" s="743"/>
      <c r="E33" s="720">
        <f>C33-D33</f>
        <v>0</v>
      </c>
      <c r="G33" s="741" t="s">
        <v>1</v>
      </c>
      <c r="H33" s="743"/>
      <c r="I33" s="743"/>
      <c r="J33" s="720">
        <f>I33-H33</f>
        <v>0</v>
      </c>
    </row>
    <row r="34" spans="2:10">
      <c r="B34" s="741" t="s">
        <v>3</v>
      </c>
      <c r="C34" s="743"/>
      <c r="D34" s="743"/>
      <c r="E34" s="720">
        <f>C34-D34</f>
        <v>0</v>
      </c>
      <c r="G34" s="741" t="s">
        <v>3</v>
      </c>
      <c r="H34" s="743"/>
      <c r="I34" s="743"/>
      <c r="J34" s="720">
        <f>I34-H34</f>
        <v>0</v>
      </c>
    </row>
  </sheetData>
  <mergeCells count="5">
    <mergeCell ref="N5:V11"/>
    <mergeCell ref="B26:D26"/>
    <mergeCell ref="G26:I26"/>
    <mergeCell ref="B31:D31"/>
    <mergeCell ref="G31:I3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F236"/>
  <sheetViews>
    <sheetView topLeftCell="A127" workbookViewId="0">
      <selection activeCell="E248" sqref="E248"/>
    </sheetView>
  </sheetViews>
  <sheetFormatPr defaultColWidth="8.7109375" defaultRowHeight="12.75"/>
  <cols>
    <col min="1" max="1" width="25.5703125" bestFit="1" customWidth="1"/>
    <col min="2" max="2" width="26.42578125" bestFit="1" customWidth="1"/>
    <col min="3" max="3" width="27.5703125" bestFit="1" customWidth="1"/>
    <col min="4" max="4" width="22.5703125" bestFit="1" customWidth="1"/>
    <col min="5" max="5" width="25.5703125" bestFit="1" customWidth="1"/>
    <col min="6" max="6" width="19" bestFit="1" customWidth="1"/>
  </cols>
  <sheetData>
    <row r="1" spans="1:6">
      <c r="A1" s="427" t="s">
        <v>558</v>
      </c>
    </row>
    <row r="3" spans="1:6" ht="20.25">
      <c r="A3" s="53" t="s">
        <v>559</v>
      </c>
      <c r="B3" s="53" t="s">
        <v>560</v>
      </c>
      <c r="C3" s="53" t="s">
        <v>561</v>
      </c>
      <c r="D3" s="53" t="s">
        <v>562</v>
      </c>
      <c r="E3" s="53" t="s">
        <v>563</v>
      </c>
      <c r="F3" s="53" t="s">
        <v>564</v>
      </c>
    </row>
    <row r="4" spans="1:6">
      <c r="A4" s="54" t="s">
        <v>231</v>
      </c>
      <c r="B4" s="54" t="s">
        <v>232</v>
      </c>
      <c r="C4" s="54" t="s">
        <v>230</v>
      </c>
      <c r="D4" s="54" t="s">
        <v>233</v>
      </c>
      <c r="E4" s="54" t="s">
        <v>234</v>
      </c>
      <c r="F4" s="54" t="s">
        <v>235</v>
      </c>
    </row>
    <row r="5" spans="1:6">
      <c r="A5" s="55" t="s">
        <v>565</v>
      </c>
      <c r="B5" s="55" t="s">
        <v>566</v>
      </c>
      <c r="C5" s="55" t="s">
        <v>567</v>
      </c>
      <c r="D5" s="55" t="s">
        <v>568</v>
      </c>
      <c r="E5" s="55" t="s">
        <v>569</v>
      </c>
      <c r="F5" s="55" t="s">
        <v>570</v>
      </c>
    </row>
    <row r="6" spans="1:6">
      <c r="A6" s="54" t="s">
        <v>571</v>
      </c>
      <c r="B6" s="54" t="s">
        <v>572</v>
      </c>
      <c r="C6" s="54" t="s">
        <v>573</v>
      </c>
      <c r="D6" s="54" t="s">
        <v>574</v>
      </c>
      <c r="E6" s="54" t="s">
        <v>575</v>
      </c>
      <c r="F6" s="54" t="s">
        <v>576</v>
      </c>
    </row>
    <row r="7" spans="1:6">
      <c r="A7" s="54" t="s">
        <v>577</v>
      </c>
      <c r="B7" s="54" t="s">
        <v>578</v>
      </c>
      <c r="C7" s="54" t="s">
        <v>579</v>
      </c>
      <c r="D7" s="54" t="s">
        <v>580</v>
      </c>
      <c r="E7" s="54" t="s">
        <v>581</v>
      </c>
      <c r="F7" s="54" t="s">
        <v>582</v>
      </c>
    </row>
    <row r="8" spans="1:6">
      <c r="A8" s="54" t="s">
        <v>583</v>
      </c>
      <c r="B8" s="54" t="s">
        <v>584</v>
      </c>
      <c r="C8" s="54" t="s">
        <v>585</v>
      </c>
      <c r="D8" s="54" t="s">
        <v>586</v>
      </c>
      <c r="E8" s="54" t="s">
        <v>587</v>
      </c>
      <c r="F8" s="54" t="s">
        <v>588</v>
      </c>
    </row>
    <row r="9" spans="1:6">
      <c r="A9" s="54" t="s">
        <v>589</v>
      </c>
      <c r="B9" s="54" t="s">
        <v>590</v>
      </c>
      <c r="C9" s="54" t="s">
        <v>591</v>
      </c>
      <c r="D9" s="54" t="s">
        <v>592</v>
      </c>
      <c r="E9" s="54" t="s">
        <v>593</v>
      </c>
      <c r="F9" s="54" t="s">
        <v>594</v>
      </c>
    </row>
    <row r="10" spans="1:6">
      <c r="A10" s="54" t="s">
        <v>595</v>
      </c>
      <c r="B10" s="54" t="s">
        <v>596</v>
      </c>
      <c r="C10" s="54" t="s">
        <v>597</v>
      </c>
      <c r="D10" s="54" t="s">
        <v>598</v>
      </c>
      <c r="E10" s="54" t="s">
        <v>599</v>
      </c>
      <c r="F10" s="54" t="s">
        <v>600</v>
      </c>
    </row>
    <row r="11" spans="1:6">
      <c r="A11" s="54" t="s">
        <v>601</v>
      </c>
      <c r="B11" s="54" t="s">
        <v>602</v>
      </c>
      <c r="C11" s="54" t="s">
        <v>603</v>
      </c>
      <c r="D11" s="54" t="s">
        <v>604</v>
      </c>
      <c r="E11" s="54" t="s">
        <v>605</v>
      </c>
      <c r="F11" s="54" t="s">
        <v>606</v>
      </c>
    </row>
    <row r="12" spans="1:6">
      <c r="A12" s="54" t="s">
        <v>607</v>
      </c>
      <c r="B12" s="54" t="s">
        <v>608</v>
      </c>
      <c r="C12" s="54" t="s">
        <v>609</v>
      </c>
      <c r="D12" s="54" t="s">
        <v>610</v>
      </c>
      <c r="E12" s="54" t="s">
        <v>611</v>
      </c>
      <c r="F12" s="54" t="s">
        <v>612</v>
      </c>
    </row>
    <row r="13" spans="1:6">
      <c r="A13" s="55" t="s">
        <v>613</v>
      </c>
      <c r="B13" s="54" t="s">
        <v>614</v>
      </c>
      <c r="C13" s="54" t="s">
        <v>615</v>
      </c>
      <c r="D13" s="54" t="s">
        <v>616</v>
      </c>
      <c r="E13" s="54" t="s">
        <v>617</v>
      </c>
      <c r="F13" s="54" t="s">
        <v>618</v>
      </c>
    </row>
    <row r="14" spans="1:6">
      <c r="A14" s="54" t="s">
        <v>619</v>
      </c>
      <c r="B14" s="55" t="s">
        <v>620</v>
      </c>
      <c r="C14" s="54" t="s">
        <v>621</v>
      </c>
      <c r="D14" s="54" t="s">
        <v>622</v>
      </c>
      <c r="E14" s="54" t="s">
        <v>623</v>
      </c>
    </row>
    <row r="15" spans="1:6">
      <c r="A15" s="54" t="s">
        <v>624</v>
      </c>
      <c r="B15" s="54" t="s">
        <v>625</v>
      </c>
      <c r="C15" s="54" t="s">
        <v>626</v>
      </c>
      <c r="D15" s="54" t="s">
        <v>627</v>
      </c>
      <c r="E15" s="54" t="s">
        <v>628</v>
      </c>
    </row>
    <row r="16" spans="1:6">
      <c r="A16" s="54" t="s">
        <v>629</v>
      </c>
      <c r="B16" s="54" t="s">
        <v>630</v>
      </c>
      <c r="C16" s="54" t="s">
        <v>631</v>
      </c>
      <c r="D16" s="54" t="s">
        <v>632</v>
      </c>
      <c r="E16" s="55" t="s">
        <v>633</v>
      </c>
    </row>
    <row r="17" spans="1:5">
      <c r="A17" s="55" t="s">
        <v>634</v>
      </c>
      <c r="B17" s="54" t="s">
        <v>635</v>
      </c>
      <c r="C17" s="54" t="s">
        <v>636</v>
      </c>
      <c r="D17" s="54" t="s">
        <v>637</v>
      </c>
      <c r="E17" s="54" t="s">
        <v>638</v>
      </c>
    </row>
    <row r="18" spans="1:5">
      <c r="A18" s="54" t="s">
        <v>639</v>
      </c>
      <c r="B18" s="54" t="s">
        <v>640</v>
      </c>
      <c r="C18" s="54" t="s">
        <v>641</v>
      </c>
      <c r="D18" s="54" t="s">
        <v>642</v>
      </c>
      <c r="E18" s="54" t="s">
        <v>643</v>
      </c>
    </row>
    <row r="19" spans="1:5">
      <c r="A19" s="54" t="s">
        <v>644</v>
      </c>
      <c r="B19" s="54" t="s">
        <v>645</v>
      </c>
      <c r="C19" s="54" t="s">
        <v>646</v>
      </c>
      <c r="D19" s="54" t="s">
        <v>647</v>
      </c>
      <c r="E19" s="54" t="s">
        <v>648</v>
      </c>
    </row>
    <row r="20" spans="1:5">
      <c r="A20" s="54" t="s">
        <v>649</v>
      </c>
      <c r="B20" s="54" t="s">
        <v>650</v>
      </c>
      <c r="C20" s="54" t="s">
        <v>651</v>
      </c>
      <c r="D20" s="54" t="s">
        <v>652</v>
      </c>
      <c r="E20" s="54" t="s">
        <v>653</v>
      </c>
    </row>
    <row r="21" spans="1:5">
      <c r="A21" s="54" t="s">
        <v>654</v>
      </c>
      <c r="B21" s="54" t="s">
        <v>655</v>
      </c>
      <c r="C21" s="54" t="s">
        <v>656</v>
      </c>
      <c r="D21" s="54" t="s">
        <v>657</v>
      </c>
      <c r="E21" s="54" t="s">
        <v>658</v>
      </c>
    </row>
    <row r="22" spans="1:5">
      <c r="A22" s="54" t="s">
        <v>659</v>
      </c>
      <c r="B22" s="55" t="s">
        <v>660</v>
      </c>
      <c r="C22" s="54" t="s">
        <v>661</v>
      </c>
      <c r="D22" s="54" t="s">
        <v>662</v>
      </c>
      <c r="E22" s="55" t="s">
        <v>663</v>
      </c>
    </row>
    <row r="23" spans="1:5">
      <c r="A23" s="55" t="s">
        <v>664</v>
      </c>
      <c r="B23" s="54" t="s">
        <v>665</v>
      </c>
      <c r="C23" s="54" t="s">
        <v>666</v>
      </c>
      <c r="D23" s="55" t="s">
        <v>667</v>
      </c>
      <c r="E23" s="54" t="s">
        <v>668</v>
      </c>
    </row>
    <row r="24" spans="1:5">
      <c r="A24" s="54" t="s">
        <v>669</v>
      </c>
      <c r="B24" s="54" t="s">
        <v>670</v>
      </c>
      <c r="C24" s="55" t="s">
        <v>671</v>
      </c>
      <c r="D24" s="54" t="s">
        <v>672</v>
      </c>
      <c r="E24" s="54" t="s">
        <v>673</v>
      </c>
    </row>
    <row r="25" spans="1:5">
      <c r="A25" s="54" t="s">
        <v>674</v>
      </c>
      <c r="B25" s="54" t="s">
        <v>675</v>
      </c>
      <c r="C25" s="54" t="s">
        <v>676</v>
      </c>
      <c r="D25" s="54" t="s">
        <v>677</v>
      </c>
      <c r="E25" s="54" t="s">
        <v>678</v>
      </c>
    </row>
    <row r="26" spans="1:5">
      <c r="A26" s="54" t="s">
        <v>679</v>
      </c>
      <c r="B26" s="54" t="s">
        <v>680</v>
      </c>
      <c r="C26" s="54" t="s">
        <v>681</v>
      </c>
      <c r="D26" s="54" t="s">
        <v>682</v>
      </c>
      <c r="E26" s="54" t="s">
        <v>683</v>
      </c>
    </row>
    <row r="27" spans="1:5">
      <c r="A27" s="54" t="s">
        <v>684</v>
      </c>
      <c r="B27" s="54" t="s">
        <v>685</v>
      </c>
      <c r="C27" s="54" t="s">
        <v>686</v>
      </c>
      <c r="D27" s="54" t="s">
        <v>687</v>
      </c>
      <c r="E27" s="54" t="s">
        <v>688</v>
      </c>
    </row>
    <row r="28" spans="1:5">
      <c r="A28" s="55" t="s">
        <v>689</v>
      </c>
      <c r="B28" s="55" t="s">
        <v>690</v>
      </c>
      <c r="C28" s="54" t="s">
        <v>691</v>
      </c>
      <c r="D28" s="54" t="s">
        <v>692</v>
      </c>
      <c r="E28" s="54" t="s">
        <v>693</v>
      </c>
    </row>
    <row r="29" spans="1:5">
      <c r="A29" s="54" t="s">
        <v>694</v>
      </c>
      <c r="B29" s="54" t="s">
        <v>695</v>
      </c>
      <c r="C29" s="54" t="s">
        <v>696</v>
      </c>
      <c r="D29" s="54" t="s">
        <v>697</v>
      </c>
      <c r="E29" s="54" t="s">
        <v>698</v>
      </c>
    </row>
    <row r="30" spans="1:5">
      <c r="A30" s="54" t="s">
        <v>699</v>
      </c>
      <c r="B30" s="54" t="s">
        <v>700</v>
      </c>
      <c r="C30" s="54" t="s">
        <v>701</v>
      </c>
      <c r="D30" s="54" t="s">
        <v>702</v>
      </c>
      <c r="E30" s="54" t="s">
        <v>703</v>
      </c>
    </row>
    <row r="31" spans="1:5">
      <c r="A31" s="54" t="s">
        <v>704</v>
      </c>
      <c r="B31" s="54" t="s">
        <v>705</v>
      </c>
      <c r="C31" s="54" t="s">
        <v>706</v>
      </c>
      <c r="D31" s="54" t="s">
        <v>707</v>
      </c>
      <c r="E31" s="55" t="s">
        <v>708</v>
      </c>
    </row>
    <row r="32" spans="1:5">
      <c r="A32" s="54" t="s">
        <v>709</v>
      </c>
      <c r="B32" s="55" t="s">
        <v>710</v>
      </c>
      <c r="C32" s="54" t="s">
        <v>711</v>
      </c>
      <c r="D32" s="54" t="s">
        <v>712</v>
      </c>
      <c r="E32" s="54" t="s">
        <v>713</v>
      </c>
    </row>
    <row r="33" spans="1:5">
      <c r="A33" s="55" t="s">
        <v>714</v>
      </c>
      <c r="B33" s="54" t="s">
        <v>715</v>
      </c>
      <c r="C33" s="54" t="s">
        <v>716</v>
      </c>
      <c r="D33" s="54" t="s">
        <v>717</v>
      </c>
      <c r="E33" s="54" t="s">
        <v>718</v>
      </c>
    </row>
    <row r="34" spans="1:5">
      <c r="A34" s="54" t="s">
        <v>719</v>
      </c>
      <c r="B34" s="54" t="s">
        <v>720</v>
      </c>
      <c r="C34" s="54" t="s">
        <v>721</v>
      </c>
      <c r="D34" s="55" t="s">
        <v>722</v>
      </c>
      <c r="E34" s="54" t="s">
        <v>723</v>
      </c>
    </row>
    <row r="35" spans="1:5">
      <c r="A35" s="54" t="s">
        <v>724</v>
      </c>
      <c r="B35" s="54" t="s">
        <v>725</v>
      </c>
      <c r="C35" s="54" t="s">
        <v>726</v>
      </c>
      <c r="D35" s="54" t="s">
        <v>727</v>
      </c>
      <c r="E35" s="54" t="s">
        <v>728</v>
      </c>
    </row>
    <row r="36" spans="1:5">
      <c r="A36" s="54" t="s">
        <v>729</v>
      </c>
      <c r="B36" s="54" t="s">
        <v>730</v>
      </c>
      <c r="C36" s="54" t="s">
        <v>731</v>
      </c>
      <c r="D36" s="54" t="s">
        <v>732</v>
      </c>
      <c r="E36" s="54" t="s">
        <v>733</v>
      </c>
    </row>
    <row r="37" spans="1:5">
      <c r="A37" s="54" t="s">
        <v>734</v>
      </c>
      <c r="B37" s="55" t="s">
        <v>735</v>
      </c>
      <c r="C37" s="54" t="s">
        <v>736</v>
      </c>
      <c r="D37" s="54" t="s">
        <v>737</v>
      </c>
      <c r="E37" s="54" t="s">
        <v>738</v>
      </c>
    </row>
    <row r="38" spans="1:5">
      <c r="A38" s="55" t="s">
        <v>739</v>
      </c>
      <c r="B38" s="54" t="s">
        <v>740</v>
      </c>
      <c r="C38" s="54" t="s">
        <v>741</v>
      </c>
      <c r="D38" s="54" t="s">
        <v>742</v>
      </c>
      <c r="E38" s="54" t="s">
        <v>743</v>
      </c>
    </row>
    <row r="39" spans="1:5">
      <c r="A39" s="54" t="s">
        <v>744</v>
      </c>
      <c r="B39" s="54" t="s">
        <v>745</v>
      </c>
      <c r="C39" s="54" t="s">
        <v>746</v>
      </c>
      <c r="D39" s="54" t="s">
        <v>747</v>
      </c>
      <c r="E39" s="55" t="s">
        <v>748</v>
      </c>
    </row>
    <row r="40" spans="1:5">
      <c r="A40" s="54" t="s">
        <v>749</v>
      </c>
      <c r="B40" s="54" t="s">
        <v>750</v>
      </c>
      <c r="C40" s="54" t="s">
        <v>751</v>
      </c>
      <c r="D40" s="54" t="s">
        <v>752</v>
      </c>
      <c r="E40" s="54" t="s">
        <v>753</v>
      </c>
    </row>
    <row r="41" spans="1:5">
      <c r="A41" s="54" t="s">
        <v>754</v>
      </c>
      <c r="B41" s="55" t="s">
        <v>755</v>
      </c>
      <c r="C41" s="54" t="s">
        <v>756</v>
      </c>
      <c r="D41" s="54" t="s">
        <v>757</v>
      </c>
      <c r="E41" s="54" t="s">
        <v>758</v>
      </c>
    </row>
    <row r="42" spans="1:5">
      <c r="A42" s="54" t="s">
        <v>759</v>
      </c>
      <c r="B42" s="54" t="s">
        <v>760</v>
      </c>
      <c r="C42" s="54" t="s">
        <v>761</v>
      </c>
      <c r="D42" s="54" t="s">
        <v>762</v>
      </c>
      <c r="E42" s="54" t="s">
        <v>763</v>
      </c>
    </row>
    <row r="43" spans="1:5">
      <c r="A43" s="54" t="s">
        <v>764</v>
      </c>
      <c r="B43" s="54" t="s">
        <v>765</v>
      </c>
      <c r="C43" s="54" t="s">
        <v>766</v>
      </c>
      <c r="D43" s="54" t="s">
        <v>767</v>
      </c>
      <c r="E43" s="54" t="s">
        <v>768</v>
      </c>
    </row>
    <row r="44" spans="1:5">
      <c r="A44" s="55" t="s">
        <v>769</v>
      </c>
      <c r="B44" s="54" t="s">
        <v>770</v>
      </c>
      <c r="C44" s="54" t="s">
        <v>771</v>
      </c>
      <c r="D44" s="54" t="s">
        <v>772</v>
      </c>
      <c r="E44" s="54" t="s">
        <v>773</v>
      </c>
    </row>
    <row r="45" spans="1:5">
      <c r="A45" s="54" t="s">
        <v>774</v>
      </c>
      <c r="B45" s="54" t="s">
        <v>775</v>
      </c>
      <c r="C45" s="54" t="s">
        <v>776</v>
      </c>
      <c r="D45" s="54" t="s">
        <v>777</v>
      </c>
      <c r="E45" s="54" t="s">
        <v>778</v>
      </c>
    </row>
    <row r="46" spans="1:5">
      <c r="A46" s="54" t="s">
        <v>779</v>
      </c>
      <c r="B46" s="54" t="s">
        <v>780</v>
      </c>
      <c r="C46" s="54" t="s">
        <v>781</v>
      </c>
      <c r="D46" s="54" t="s">
        <v>782</v>
      </c>
      <c r="E46" s="54" t="s">
        <v>783</v>
      </c>
    </row>
    <row r="47" spans="1:5">
      <c r="A47" s="54" t="s">
        <v>784</v>
      </c>
      <c r="B47" s="54" t="s">
        <v>785</v>
      </c>
      <c r="C47" s="54" t="s">
        <v>786</v>
      </c>
      <c r="D47" s="54" t="s">
        <v>787</v>
      </c>
    </row>
    <row r="48" spans="1:5">
      <c r="A48" s="54" t="s">
        <v>788</v>
      </c>
      <c r="B48" s="55" t="s">
        <v>789</v>
      </c>
      <c r="C48" s="54" t="s">
        <v>790</v>
      </c>
      <c r="D48" s="55" t="s">
        <v>791</v>
      </c>
    </row>
    <row r="49" spans="1:4">
      <c r="A49" s="54" t="s">
        <v>792</v>
      </c>
      <c r="B49" s="54" t="s">
        <v>793</v>
      </c>
      <c r="C49" s="54" t="s">
        <v>794</v>
      </c>
      <c r="D49" s="54" t="s">
        <v>795</v>
      </c>
    </row>
    <row r="50" spans="1:4">
      <c r="A50" s="54" t="s">
        <v>796</v>
      </c>
      <c r="B50" s="54" t="s">
        <v>797</v>
      </c>
      <c r="C50" s="54" t="s">
        <v>798</v>
      </c>
      <c r="D50" s="54" t="s">
        <v>799</v>
      </c>
    </row>
    <row r="51" spans="1:4">
      <c r="A51" s="55" t="s">
        <v>800</v>
      </c>
      <c r="B51" s="54" t="s">
        <v>801</v>
      </c>
      <c r="C51" s="54" t="s">
        <v>802</v>
      </c>
      <c r="D51" s="54" t="s">
        <v>803</v>
      </c>
    </row>
    <row r="52" spans="1:4">
      <c r="A52" s="54" t="s">
        <v>804</v>
      </c>
      <c r="B52" s="54" t="s">
        <v>805</v>
      </c>
      <c r="C52" s="55" t="s">
        <v>806</v>
      </c>
      <c r="D52" s="54" t="s">
        <v>807</v>
      </c>
    </row>
    <row r="53" spans="1:4">
      <c r="A53" s="54" t="s">
        <v>808</v>
      </c>
      <c r="B53" s="55" t="s">
        <v>809</v>
      </c>
      <c r="C53" s="54" t="s">
        <v>810</v>
      </c>
      <c r="D53" s="54" t="s">
        <v>811</v>
      </c>
    </row>
    <row r="54" spans="1:4">
      <c r="A54" s="54" t="s">
        <v>812</v>
      </c>
      <c r="B54" s="54" t="s">
        <v>813</v>
      </c>
      <c r="C54" s="54" t="s">
        <v>814</v>
      </c>
      <c r="D54" s="54" t="s">
        <v>815</v>
      </c>
    </row>
    <row r="55" spans="1:4">
      <c r="A55" s="54" t="s">
        <v>816</v>
      </c>
      <c r="B55" s="54" t="s">
        <v>817</v>
      </c>
      <c r="C55" s="54" t="s">
        <v>818</v>
      </c>
      <c r="D55" s="54" t="s">
        <v>819</v>
      </c>
    </row>
    <row r="56" spans="1:4">
      <c r="A56" s="55" t="s">
        <v>820</v>
      </c>
      <c r="B56" s="54" t="s">
        <v>821</v>
      </c>
      <c r="C56" s="54" t="s">
        <v>822</v>
      </c>
      <c r="D56" s="54" t="s">
        <v>823</v>
      </c>
    </row>
    <row r="57" spans="1:4">
      <c r="A57" s="54" t="s">
        <v>824</v>
      </c>
      <c r="B57" s="54" t="s">
        <v>825</v>
      </c>
      <c r="C57" s="54" t="s">
        <v>826</v>
      </c>
      <c r="D57" s="54" t="s">
        <v>827</v>
      </c>
    </row>
    <row r="58" spans="1:4">
      <c r="A58" s="54" t="s">
        <v>828</v>
      </c>
      <c r="B58" s="54" t="s">
        <v>829</v>
      </c>
      <c r="C58" s="54" t="s">
        <v>830</v>
      </c>
      <c r="D58" s="54" t="s">
        <v>831</v>
      </c>
    </row>
    <row r="59" spans="1:4">
      <c r="A59" s="54" t="s">
        <v>832</v>
      </c>
      <c r="B59" s="54" t="s">
        <v>833</v>
      </c>
      <c r="C59" s="54" t="s">
        <v>834</v>
      </c>
      <c r="D59" s="54" t="s">
        <v>835</v>
      </c>
    </row>
    <row r="60" spans="1:4">
      <c r="A60" s="55" t="s">
        <v>836</v>
      </c>
      <c r="B60" s="54" t="s">
        <v>837</v>
      </c>
      <c r="C60" s="54" t="s">
        <v>838</v>
      </c>
      <c r="D60" s="54" t="s">
        <v>839</v>
      </c>
    </row>
    <row r="61" spans="1:4">
      <c r="A61" s="54" t="s">
        <v>840</v>
      </c>
      <c r="B61" s="54" t="s">
        <v>841</v>
      </c>
      <c r="C61" s="54" t="s">
        <v>842</v>
      </c>
      <c r="D61" s="54" t="s">
        <v>843</v>
      </c>
    </row>
    <row r="62" spans="1:4">
      <c r="A62" s="54" t="s">
        <v>844</v>
      </c>
      <c r="B62" s="55" t="s">
        <v>845</v>
      </c>
      <c r="C62" s="54" t="s">
        <v>846</v>
      </c>
      <c r="D62" s="54" t="s">
        <v>847</v>
      </c>
    </row>
    <row r="63" spans="1:4">
      <c r="A63" s="54" t="s">
        <v>848</v>
      </c>
      <c r="B63" s="54" t="s">
        <v>849</v>
      </c>
      <c r="C63" s="54" t="s">
        <v>850</v>
      </c>
      <c r="D63" s="54" t="s">
        <v>851</v>
      </c>
    </row>
    <row r="64" spans="1:4">
      <c r="A64" s="54" t="s">
        <v>852</v>
      </c>
      <c r="B64" s="54" t="s">
        <v>853</v>
      </c>
      <c r="C64" s="54" t="s">
        <v>854</v>
      </c>
    </row>
    <row r="65" spans="1:3">
      <c r="A65" s="54" t="s">
        <v>855</v>
      </c>
      <c r="B65" s="54" t="s">
        <v>856</v>
      </c>
      <c r="C65" s="54" t="s">
        <v>857</v>
      </c>
    </row>
    <row r="66" spans="1:3">
      <c r="A66" s="54" t="s">
        <v>858</v>
      </c>
      <c r="B66" s="54" t="s">
        <v>859</v>
      </c>
      <c r="C66" s="54" t="s">
        <v>860</v>
      </c>
    </row>
    <row r="67" spans="1:3">
      <c r="A67" s="55" t="s">
        <v>861</v>
      </c>
      <c r="B67" s="54" t="s">
        <v>862</v>
      </c>
      <c r="C67" s="54" t="s">
        <v>863</v>
      </c>
    </row>
    <row r="68" spans="1:3">
      <c r="A68" s="54" t="s">
        <v>864</v>
      </c>
      <c r="B68" s="55" t="s">
        <v>865</v>
      </c>
      <c r="C68" s="54" t="s">
        <v>866</v>
      </c>
    </row>
    <row r="69" spans="1:3">
      <c r="A69" s="54" t="s">
        <v>867</v>
      </c>
      <c r="B69" s="54" t="s">
        <v>868</v>
      </c>
      <c r="C69" s="54" t="s">
        <v>869</v>
      </c>
    </row>
    <row r="70" spans="1:3">
      <c r="A70" s="54" t="s">
        <v>870</v>
      </c>
      <c r="B70" s="54" t="s">
        <v>871</v>
      </c>
      <c r="C70" s="54" t="s">
        <v>872</v>
      </c>
    </row>
    <row r="71" spans="1:3">
      <c r="A71" s="54" t="s">
        <v>873</v>
      </c>
      <c r="B71" s="54" t="s">
        <v>874</v>
      </c>
      <c r="C71" s="54" t="s">
        <v>875</v>
      </c>
    </row>
    <row r="72" spans="1:3">
      <c r="A72" s="54" t="s">
        <v>876</v>
      </c>
      <c r="B72" s="54" t="s">
        <v>877</v>
      </c>
      <c r="C72" s="54" t="s">
        <v>878</v>
      </c>
    </row>
    <row r="73" spans="1:3">
      <c r="A73" s="54" t="s">
        <v>879</v>
      </c>
      <c r="B73" s="54" t="s">
        <v>880</v>
      </c>
      <c r="C73" s="54" t="s">
        <v>881</v>
      </c>
    </row>
    <row r="74" spans="1:3">
      <c r="A74" s="55" t="s">
        <v>882</v>
      </c>
      <c r="B74" s="55" t="s">
        <v>883</v>
      </c>
      <c r="C74" s="54" t="s">
        <v>884</v>
      </c>
    </row>
    <row r="75" spans="1:3">
      <c r="A75" s="54" t="s">
        <v>885</v>
      </c>
      <c r="B75" s="54" t="s">
        <v>886</v>
      </c>
      <c r="C75" s="54" t="s">
        <v>887</v>
      </c>
    </row>
    <row r="76" spans="1:3">
      <c r="A76" s="54" t="s">
        <v>888</v>
      </c>
      <c r="B76" s="54" t="s">
        <v>889</v>
      </c>
      <c r="C76" s="54" t="s">
        <v>890</v>
      </c>
    </row>
    <row r="77" spans="1:3">
      <c r="A77" s="54" t="s">
        <v>891</v>
      </c>
      <c r="B77" s="54" t="s">
        <v>892</v>
      </c>
      <c r="C77" s="54" t="s">
        <v>893</v>
      </c>
    </row>
    <row r="78" spans="1:3">
      <c r="A78" s="55" t="s">
        <v>894</v>
      </c>
      <c r="B78" s="54" t="s">
        <v>895</v>
      </c>
      <c r="C78" s="54" t="s">
        <v>896</v>
      </c>
    </row>
    <row r="79" spans="1:3">
      <c r="A79" s="54" t="s">
        <v>897</v>
      </c>
      <c r="B79" s="54" t="s">
        <v>898</v>
      </c>
      <c r="C79" s="54" t="s">
        <v>899</v>
      </c>
    </row>
    <row r="80" spans="1:3">
      <c r="A80" s="54" t="s">
        <v>900</v>
      </c>
      <c r="B80" s="54" t="s">
        <v>901</v>
      </c>
      <c r="C80" s="54" t="s">
        <v>902</v>
      </c>
    </row>
    <row r="81" spans="1:3">
      <c r="A81" s="54" t="s">
        <v>903</v>
      </c>
      <c r="B81" s="54" t="s">
        <v>904</v>
      </c>
      <c r="C81" s="54" t="s">
        <v>905</v>
      </c>
    </row>
    <row r="82" spans="1:3">
      <c r="A82" s="54" t="s">
        <v>906</v>
      </c>
      <c r="B82" s="55" t="s">
        <v>907</v>
      </c>
      <c r="C82" s="54" t="s">
        <v>908</v>
      </c>
    </row>
    <row r="83" spans="1:3">
      <c r="B83" s="54" t="s">
        <v>909</v>
      </c>
      <c r="C83" s="54" t="s">
        <v>910</v>
      </c>
    </row>
    <row r="84" spans="1:3">
      <c r="B84" s="54" t="s">
        <v>911</v>
      </c>
      <c r="C84" s="54" t="s">
        <v>912</v>
      </c>
    </row>
    <row r="85" spans="1:3">
      <c r="B85" s="55" t="s">
        <v>913</v>
      </c>
      <c r="C85" s="54" t="s">
        <v>914</v>
      </c>
    </row>
    <row r="86" spans="1:3">
      <c r="B86" s="54" t="s">
        <v>915</v>
      </c>
      <c r="C86" s="54" t="s">
        <v>916</v>
      </c>
    </row>
    <row r="87" spans="1:3">
      <c r="B87" s="54" t="s">
        <v>917</v>
      </c>
      <c r="C87" s="54" t="s">
        <v>918</v>
      </c>
    </row>
    <row r="88" spans="1:3">
      <c r="B88" s="54" t="s">
        <v>919</v>
      </c>
      <c r="C88" s="54" t="s">
        <v>920</v>
      </c>
    </row>
    <row r="89" spans="1:3">
      <c r="B89" s="54" t="s">
        <v>921</v>
      </c>
      <c r="C89" s="54" t="s">
        <v>922</v>
      </c>
    </row>
    <row r="90" spans="1:3">
      <c r="B90" s="54" t="s">
        <v>923</v>
      </c>
      <c r="C90" s="54" t="s">
        <v>924</v>
      </c>
    </row>
    <row r="91" spans="1:3">
      <c r="B91" s="54" t="s">
        <v>925</v>
      </c>
      <c r="C91" s="54" t="s">
        <v>926</v>
      </c>
    </row>
    <row r="92" spans="1:3">
      <c r="B92" s="54" t="s">
        <v>927</v>
      </c>
      <c r="C92" s="54" t="s">
        <v>928</v>
      </c>
    </row>
    <row r="93" spans="1:3">
      <c r="B93" s="55" t="s">
        <v>929</v>
      </c>
      <c r="C93" s="54" t="s">
        <v>930</v>
      </c>
    </row>
    <row r="94" spans="1:3">
      <c r="B94" s="54" t="s">
        <v>931</v>
      </c>
      <c r="C94" s="54" t="s">
        <v>932</v>
      </c>
    </row>
    <row r="95" spans="1:3">
      <c r="B95" s="54" t="s">
        <v>933</v>
      </c>
      <c r="C95" s="54" t="s">
        <v>934</v>
      </c>
    </row>
    <row r="96" spans="1:3">
      <c r="B96" s="55" t="s">
        <v>935</v>
      </c>
      <c r="C96" s="54" t="s">
        <v>936</v>
      </c>
    </row>
    <row r="97" spans="2:3">
      <c r="B97" s="54" t="s">
        <v>937</v>
      </c>
      <c r="C97" s="54" t="s">
        <v>938</v>
      </c>
    </row>
    <row r="98" spans="2:3">
      <c r="B98" s="54" t="s">
        <v>939</v>
      </c>
      <c r="C98" s="54" t="s">
        <v>940</v>
      </c>
    </row>
    <row r="99" spans="2:3">
      <c r="B99" s="54" t="s">
        <v>941</v>
      </c>
      <c r="C99" s="54" t="s">
        <v>942</v>
      </c>
    </row>
    <row r="100" spans="2:3">
      <c r="C100" s="54" t="s">
        <v>943</v>
      </c>
    </row>
    <row r="101" spans="2:3">
      <c r="C101" s="54" t="s">
        <v>944</v>
      </c>
    </row>
    <row r="102" spans="2:3">
      <c r="C102" s="54" t="s">
        <v>945</v>
      </c>
    </row>
    <row r="103" spans="2:3">
      <c r="C103" s="54" t="s">
        <v>946</v>
      </c>
    </row>
    <row r="104" spans="2:3">
      <c r="C104" s="54" t="s">
        <v>947</v>
      </c>
    </row>
    <row r="105" spans="2:3">
      <c r="C105" s="54" t="s">
        <v>948</v>
      </c>
    </row>
    <row r="106" spans="2:3">
      <c r="C106" s="55" t="s">
        <v>949</v>
      </c>
    </row>
    <row r="107" spans="2:3">
      <c r="C107" s="54" t="s">
        <v>950</v>
      </c>
    </row>
    <row r="108" spans="2:3">
      <c r="C108" s="54" t="s">
        <v>951</v>
      </c>
    </row>
    <row r="109" spans="2:3">
      <c r="C109" s="54" t="s">
        <v>952</v>
      </c>
    </row>
    <row r="110" spans="2:3">
      <c r="C110" s="54" t="s">
        <v>953</v>
      </c>
    </row>
    <row r="111" spans="2:3">
      <c r="C111" s="54" t="s">
        <v>954</v>
      </c>
    </row>
    <row r="112" spans="2:3">
      <c r="C112" s="54" t="s">
        <v>955</v>
      </c>
    </row>
    <row r="113" spans="3:3">
      <c r="C113" s="54" t="s">
        <v>956</v>
      </c>
    </row>
    <row r="114" spans="3:3">
      <c r="C114" s="54" t="s">
        <v>957</v>
      </c>
    </row>
    <row r="115" spans="3:3">
      <c r="C115" s="54" t="s">
        <v>958</v>
      </c>
    </row>
    <row r="116" spans="3:3">
      <c r="C116" s="54" t="s">
        <v>959</v>
      </c>
    </row>
    <row r="117" spans="3:3">
      <c r="C117" s="54" t="s">
        <v>960</v>
      </c>
    </row>
    <row r="118" spans="3:3">
      <c r="C118" s="54" t="s">
        <v>961</v>
      </c>
    </row>
    <row r="119" spans="3:3">
      <c r="C119" s="54" t="s">
        <v>962</v>
      </c>
    </row>
    <row r="120" spans="3:3">
      <c r="C120" s="54" t="s">
        <v>963</v>
      </c>
    </row>
    <row r="121" spans="3:3">
      <c r="C121" s="54" t="s">
        <v>964</v>
      </c>
    </row>
    <row r="122" spans="3:3">
      <c r="C122" s="54" t="s">
        <v>965</v>
      </c>
    </row>
    <row r="123" spans="3:3">
      <c r="C123" s="54" t="s">
        <v>966</v>
      </c>
    </row>
    <row r="124" spans="3:3">
      <c r="C124" s="54" t="s">
        <v>967</v>
      </c>
    </row>
    <row r="125" spans="3:3">
      <c r="C125" s="54" t="s">
        <v>968</v>
      </c>
    </row>
    <row r="126" spans="3:3">
      <c r="C126" s="54" t="s">
        <v>969</v>
      </c>
    </row>
    <row r="127" spans="3:3">
      <c r="C127" s="54" t="s">
        <v>970</v>
      </c>
    </row>
    <row r="128" spans="3:3">
      <c r="C128" s="55" t="s">
        <v>971</v>
      </c>
    </row>
    <row r="129" spans="3:3">
      <c r="C129" s="54" t="s">
        <v>972</v>
      </c>
    </row>
    <row r="130" spans="3:3">
      <c r="C130" s="54" t="s">
        <v>973</v>
      </c>
    </row>
    <row r="131" spans="3:3">
      <c r="C131" s="54" t="s">
        <v>974</v>
      </c>
    </row>
    <row r="132" spans="3:3">
      <c r="C132" s="54" t="s">
        <v>975</v>
      </c>
    </row>
    <row r="133" spans="3:3">
      <c r="C133" s="54" t="s">
        <v>976</v>
      </c>
    </row>
    <row r="134" spans="3:3">
      <c r="C134" s="54" t="s">
        <v>977</v>
      </c>
    </row>
    <row r="135" spans="3:3">
      <c r="C135" s="54" t="s">
        <v>978</v>
      </c>
    </row>
    <row r="136" spans="3:3">
      <c r="C136" s="54" t="s">
        <v>979</v>
      </c>
    </row>
    <row r="137" spans="3:3">
      <c r="C137" s="54" t="s">
        <v>980</v>
      </c>
    </row>
    <row r="138" spans="3:3">
      <c r="C138" s="54" t="s">
        <v>981</v>
      </c>
    </row>
    <row r="139" spans="3:3">
      <c r="C139" s="54" t="s">
        <v>982</v>
      </c>
    </row>
    <row r="140" spans="3:3">
      <c r="C140" s="54" t="s">
        <v>983</v>
      </c>
    </row>
    <row r="141" spans="3:3">
      <c r="C141" s="54" t="s">
        <v>984</v>
      </c>
    </row>
    <row r="142" spans="3:3">
      <c r="C142" s="54" t="s">
        <v>985</v>
      </c>
    </row>
    <row r="143" spans="3:3">
      <c r="C143" s="54" t="s">
        <v>986</v>
      </c>
    </row>
    <row r="144" spans="3:3">
      <c r="C144" s="54" t="s">
        <v>987</v>
      </c>
    </row>
    <row r="145" spans="3:3">
      <c r="C145" s="54" t="s">
        <v>988</v>
      </c>
    </row>
    <row r="146" spans="3:3">
      <c r="C146" s="54" t="s">
        <v>989</v>
      </c>
    </row>
    <row r="147" spans="3:3">
      <c r="C147" s="54" t="s">
        <v>990</v>
      </c>
    </row>
    <row r="148" spans="3:3">
      <c r="C148" s="54" t="s">
        <v>991</v>
      </c>
    </row>
    <row r="149" spans="3:3">
      <c r="C149" s="54" t="s">
        <v>992</v>
      </c>
    </row>
    <row r="150" spans="3:3">
      <c r="C150" s="54" t="s">
        <v>993</v>
      </c>
    </row>
    <row r="151" spans="3:3">
      <c r="C151" s="54" t="s">
        <v>994</v>
      </c>
    </row>
    <row r="152" spans="3:3">
      <c r="C152" s="54" t="s">
        <v>995</v>
      </c>
    </row>
    <row r="153" spans="3:3">
      <c r="C153" s="54" t="s">
        <v>996</v>
      </c>
    </row>
    <row r="154" spans="3:3">
      <c r="C154" s="54" t="s">
        <v>997</v>
      </c>
    </row>
    <row r="155" spans="3:3">
      <c r="C155" s="54" t="s">
        <v>998</v>
      </c>
    </row>
    <row r="156" spans="3:3">
      <c r="C156" s="54" t="s">
        <v>999</v>
      </c>
    </row>
    <row r="157" spans="3:3">
      <c r="C157" s="54" t="s">
        <v>1000</v>
      </c>
    </row>
    <row r="158" spans="3:3">
      <c r="C158" s="54" t="s">
        <v>1001</v>
      </c>
    </row>
    <row r="159" spans="3:3">
      <c r="C159" s="54" t="s">
        <v>1002</v>
      </c>
    </row>
    <row r="160" spans="3:3">
      <c r="C160" s="54" t="s">
        <v>1003</v>
      </c>
    </row>
    <row r="161" spans="3:3">
      <c r="C161" s="54" t="s">
        <v>1004</v>
      </c>
    </row>
    <row r="162" spans="3:3">
      <c r="C162" s="54" t="s">
        <v>1005</v>
      </c>
    </row>
    <row r="163" spans="3:3">
      <c r="C163" s="54" t="s">
        <v>1006</v>
      </c>
    </row>
    <row r="164" spans="3:3">
      <c r="C164" s="54" t="s">
        <v>1007</v>
      </c>
    </row>
    <row r="165" spans="3:3">
      <c r="C165" s="54" t="s">
        <v>1008</v>
      </c>
    </row>
    <row r="166" spans="3:3">
      <c r="C166" s="54" t="s">
        <v>1009</v>
      </c>
    </row>
    <row r="167" spans="3:3">
      <c r="C167" s="54" t="s">
        <v>1010</v>
      </c>
    </row>
    <row r="168" spans="3:3">
      <c r="C168" s="55" t="s">
        <v>1011</v>
      </c>
    </row>
    <row r="169" spans="3:3">
      <c r="C169" s="54" t="s">
        <v>1012</v>
      </c>
    </row>
    <row r="170" spans="3:3">
      <c r="C170" s="54" t="s">
        <v>1013</v>
      </c>
    </row>
    <row r="171" spans="3:3">
      <c r="C171" s="54" t="s">
        <v>1014</v>
      </c>
    </row>
    <row r="172" spans="3:3">
      <c r="C172" s="54" t="s">
        <v>1015</v>
      </c>
    </row>
    <row r="173" spans="3:3">
      <c r="C173" s="54" t="s">
        <v>1016</v>
      </c>
    </row>
    <row r="174" spans="3:3">
      <c r="C174" s="54" t="s">
        <v>1017</v>
      </c>
    </row>
    <row r="175" spans="3:3">
      <c r="C175" s="54" t="s">
        <v>1018</v>
      </c>
    </row>
    <row r="176" spans="3:3">
      <c r="C176" s="54" t="s">
        <v>1019</v>
      </c>
    </row>
    <row r="177" spans="3:3">
      <c r="C177" s="55" t="s">
        <v>1020</v>
      </c>
    </row>
    <row r="178" spans="3:3">
      <c r="C178" s="54" t="s">
        <v>1021</v>
      </c>
    </row>
    <row r="179" spans="3:3">
      <c r="C179" s="54" t="s">
        <v>1022</v>
      </c>
    </row>
    <row r="180" spans="3:3">
      <c r="C180" s="54" t="s">
        <v>1023</v>
      </c>
    </row>
    <row r="181" spans="3:3">
      <c r="C181" s="54" t="s">
        <v>1024</v>
      </c>
    </row>
    <row r="182" spans="3:3">
      <c r="C182" s="54" t="s">
        <v>1025</v>
      </c>
    </row>
    <row r="183" spans="3:3">
      <c r="C183" s="55" t="s">
        <v>1026</v>
      </c>
    </row>
    <row r="184" spans="3:3">
      <c r="C184" s="54" t="s">
        <v>1027</v>
      </c>
    </row>
    <row r="185" spans="3:3">
      <c r="C185" s="54" t="s">
        <v>1028</v>
      </c>
    </row>
    <row r="186" spans="3:3">
      <c r="C186" s="54" t="s">
        <v>1029</v>
      </c>
    </row>
    <row r="187" spans="3:3">
      <c r="C187" s="54" t="s">
        <v>1030</v>
      </c>
    </row>
    <row r="188" spans="3:3">
      <c r="C188" s="54" t="s">
        <v>1031</v>
      </c>
    </row>
    <row r="189" spans="3:3">
      <c r="C189" s="54" t="s">
        <v>1032</v>
      </c>
    </row>
    <row r="190" spans="3:3">
      <c r="C190" s="54" t="s">
        <v>1033</v>
      </c>
    </row>
    <row r="191" spans="3:3">
      <c r="C191" s="54" t="s">
        <v>1034</v>
      </c>
    </row>
    <row r="192" spans="3:3">
      <c r="C192" s="54" t="s">
        <v>1035</v>
      </c>
    </row>
    <row r="193" spans="3:3">
      <c r="C193" s="54" t="s">
        <v>1036</v>
      </c>
    </row>
    <row r="194" spans="3:3">
      <c r="C194" s="54" t="s">
        <v>1037</v>
      </c>
    </row>
    <row r="195" spans="3:3">
      <c r="C195" s="54" t="s">
        <v>1038</v>
      </c>
    </row>
    <row r="196" spans="3:3">
      <c r="C196" s="54" t="s">
        <v>1039</v>
      </c>
    </row>
    <row r="197" spans="3:3">
      <c r="C197" s="54" t="s">
        <v>1040</v>
      </c>
    </row>
    <row r="198" spans="3:3">
      <c r="C198" s="54" t="s">
        <v>1041</v>
      </c>
    </row>
    <row r="199" spans="3:3">
      <c r="C199" s="54" t="s">
        <v>1042</v>
      </c>
    </row>
    <row r="200" spans="3:3">
      <c r="C200" s="54" t="s">
        <v>1043</v>
      </c>
    </row>
    <row r="201" spans="3:3">
      <c r="C201" s="54" t="s">
        <v>1044</v>
      </c>
    </row>
    <row r="202" spans="3:3">
      <c r="C202" s="54" t="s">
        <v>1045</v>
      </c>
    </row>
    <row r="203" spans="3:3">
      <c r="C203" s="54" t="s">
        <v>1046</v>
      </c>
    </row>
    <row r="204" spans="3:3">
      <c r="C204" s="54" t="s">
        <v>1047</v>
      </c>
    </row>
    <row r="205" spans="3:3">
      <c r="C205" s="54" t="s">
        <v>1048</v>
      </c>
    </row>
    <row r="206" spans="3:3">
      <c r="C206" s="54" t="s">
        <v>1049</v>
      </c>
    </row>
    <row r="207" spans="3:3">
      <c r="C207" s="54" t="s">
        <v>1050</v>
      </c>
    </row>
    <row r="208" spans="3:3">
      <c r="C208" s="55" t="s">
        <v>1051</v>
      </c>
    </row>
    <row r="209" spans="3:3">
      <c r="C209" s="54" t="s">
        <v>1052</v>
      </c>
    </row>
    <row r="210" spans="3:3">
      <c r="C210" s="54" t="s">
        <v>1053</v>
      </c>
    </row>
    <row r="211" spans="3:3">
      <c r="C211" s="54" t="s">
        <v>1054</v>
      </c>
    </row>
    <row r="212" spans="3:3">
      <c r="C212" s="54" t="s">
        <v>1055</v>
      </c>
    </row>
    <row r="213" spans="3:3">
      <c r="C213" s="54" t="s">
        <v>1056</v>
      </c>
    </row>
    <row r="214" spans="3:3">
      <c r="C214" s="54" t="s">
        <v>1057</v>
      </c>
    </row>
    <row r="215" spans="3:3">
      <c r="C215" s="54" t="s">
        <v>1058</v>
      </c>
    </row>
    <row r="216" spans="3:3">
      <c r="C216" s="54" t="s">
        <v>1059</v>
      </c>
    </row>
    <row r="217" spans="3:3">
      <c r="C217" s="54" t="s">
        <v>1060</v>
      </c>
    </row>
    <row r="218" spans="3:3">
      <c r="C218" s="54" t="s">
        <v>1061</v>
      </c>
    </row>
    <row r="219" spans="3:3">
      <c r="C219" s="55" t="s">
        <v>1062</v>
      </c>
    </row>
    <row r="220" spans="3:3">
      <c r="C220" s="54" t="s">
        <v>1063</v>
      </c>
    </row>
    <row r="221" spans="3:3">
      <c r="C221" s="54" t="s">
        <v>1064</v>
      </c>
    </row>
    <row r="222" spans="3:3">
      <c r="C222" s="54" t="s">
        <v>1065</v>
      </c>
    </row>
    <row r="223" spans="3:3">
      <c r="C223" s="54" t="s">
        <v>1066</v>
      </c>
    </row>
    <row r="224" spans="3:3">
      <c r="C224" s="55" t="s">
        <v>1067</v>
      </c>
    </row>
    <row r="225" spans="3:3">
      <c r="C225" s="54" t="s">
        <v>1068</v>
      </c>
    </row>
    <row r="226" spans="3:3">
      <c r="C226" s="54" t="s">
        <v>1069</v>
      </c>
    </row>
    <row r="227" spans="3:3">
      <c r="C227" s="54" t="s">
        <v>1070</v>
      </c>
    </row>
    <row r="228" spans="3:3">
      <c r="C228" s="54" t="s">
        <v>1071</v>
      </c>
    </row>
    <row r="229" spans="3:3">
      <c r="C229" s="54" t="s">
        <v>1072</v>
      </c>
    </row>
    <row r="230" spans="3:3">
      <c r="C230" s="54" t="s">
        <v>1073</v>
      </c>
    </row>
    <row r="231" spans="3:3">
      <c r="C231" s="54" t="s">
        <v>1074</v>
      </c>
    </row>
    <row r="232" spans="3:3">
      <c r="C232" s="54" t="s">
        <v>1075</v>
      </c>
    </row>
    <row r="233" spans="3:3">
      <c r="C233" s="54" t="s">
        <v>1076</v>
      </c>
    </row>
    <row r="234" spans="3:3">
      <c r="C234" s="54" t="s">
        <v>1077</v>
      </c>
    </row>
    <row r="235" spans="3:3">
      <c r="C235" s="54" t="s">
        <v>1078</v>
      </c>
    </row>
    <row r="236" spans="3:3">
      <c r="C236" s="54" t="s">
        <v>1079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246"/>
  <sheetViews>
    <sheetView topLeftCell="A9" workbookViewId="0">
      <selection activeCell="C4" sqref="C4"/>
    </sheetView>
  </sheetViews>
  <sheetFormatPr defaultRowHeight="12.75"/>
  <cols>
    <col min="1" max="1" width="31.85546875" bestFit="1" customWidth="1"/>
    <col min="2" max="2" width="13.140625" customWidth="1"/>
    <col min="3" max="3" width="18.28515625" customWidth="1"/>
    <col min="5" max="5" width="11" bestFit="1" customWidth="1"/>
    <col min="10" max="17" width="9.5703125" bestFit="1" customWidth="1"/>
  </cols>
  <sheetData>
    <row r="1" spans="1:40" ht="28.5">
      <c r="E1" s="369" t="s">
        <v>1080</v>
      </c>
    </row>
    <row r="2" spans="1:40">
      <c r="G2" s="368" t="s">
        <v>1081</v>
      </c>
    </row>
    <row r="3" spans="1:40">
      <c r="I3" s="374" t="s">
        <v>1082</v>
      </c>
    </row>
    <row r="4" spans="1:40">
      <c r="G4" s="377"/>
    </row>
    <row r="5" spans="1:40" ht="14.25">
      <c r="D5" s="378"/>
      <c r="E5" s="378"/>
      <c r="F5" s="378"/>
      <c r="G5" s="379" t="s">
        <v>1083</v>
      </c>
      <c r="H5" s="378"/>
      <c r="I5" s="378"/>
      <c r="J5" s="378"/>
      <c r="K5" s="378"/>
      <c r="L5" s="378"/>
      <c r="M5" s="378"/>
      <c r="N5" s="378"/>
      <c r="O5" s="378"/>
      <c r="P5" s="378"/>
      <c r="Q5" s="378"/>
    </row>
    <row r="6" spans="1:40">
      <c r="A6" t="s">
        <v>1084</v>
      </c>
      <c r="B6" t="s">
        <v>1085</v>
      </c>
      <c r="D6" s="46">
        <f>IF(+DropINTable!AB11=0,DropINTable!AC11,DropINTable!AB11)</f>
        <v>26000</v>
      </c>
      <c r="E6" s="46">
        <f>IF(+DropINTable!AC11=0,DropINTable!AD11,DropINTable!AC11)</f>
        <v>26000</v>
      </c>
      <c r="F6" s="46">
        <f>IF(+DropINTable!AD11=0,DropINTable!AE11,DropINTable!AD11)</f>
        <v>39000</v>
      </c>
      <c r="G6" s="46">
        <f>IF(+DropINTable!AE11=0,DropINTable!AF11,DropINTable!AE11)</f>
        <v>52000</v>
      </c>
      <c r="H6" s="46">
        <f>IF(+DropINTable!AF11=0,DropINTable!AG11,DropINTable!AF11)</f>
        <v>66000</v>
      </c>
      <c r="I6" s="46">
        <f>IF(+DropINTable!AG11=0,DropINTable!AH11,DropINTable!AG11)</f>
        <v>79000</v>
      </c>
      <c r="J6" s="46">
        <f>IF(+DropINTable!AH11=0,DropINTable!AI11,DropINTable!AH11)</f>
        <v>105000</v>
      </c>
      <c r="K6" s="46">
        <f>IF(+DropINTable!AI11=0,DropINTable!AJ11,DropINTable!AI11)</f>
        <v>131000</v>
      </c>
      <c r="L6" s="46">
        <f>IF(+DropINTable!AJ11=0,DropINTable!AK11,DropINTable!AJ11)</f>
        <v>157000</v>
      </c>
      <c r="M6" s="46">
        <f>IF(+DropINTable!AK11=0,DropINTable!AL11,DropINTable!AK11)</f>
        <v>184000</v>
      </c>
      <c r="N6" s="46">
        <f>IF(+DropINTable!AL11=0,DropINTable!AM11,DropINTable!AL11)</f>
        <v>210000</v>
      </c>
      <c r="O6" s="46">
        <f>IF(+DropINTable!AM11=0,DropINTable!AN11,DropINTable!AM11)</f>
        <v>262000</v>
      </c>
      <c r="P6" s="46">
        <f>IF(+DropINTable!AN11=0,DropINTable!AO11,DropINTable!AN11)</f>
        <v>328000</v>
      </c>
      <c r="Q6" s="46">
        <f>IF(+DropINTable!AO11=0,DropINTable!AP11,DropINTable!AO11)</f>
        <v>394000</v>
      </c>
    </row>
    <row r="7" spans="1:40">
      <c r="D7" s="46" t="str">
        <f>IF(+DropINTable!AB12=0,DropINTable!AC12,DropINTable!AB12)</f>
        <v>or less</v>
      </c>
      <c r="E7" s="46" t="str">
        <f>IF(+DropINTable!AC12=0,DropINTable!AD12,DropINTable!AC12)</f>
        <v>to</v>
      </c>
      <c r="F7" s="46" t="str">
        <f>IF(+DropINTable!AD12=0,DropINTable!AE12,DropINTable!AD12)</f>
        <v>to</v>
      </c>
      <c r="G7" s="46" t="str">
        <f>IF(+DropINTable!AE12=0,DropINTable!AF12,DropINTable!AE12)</f>
        <v>to</v>
      </c>
      <c r="H7" s="46" t="str">
        <f>IF(+DropINTable!AF12=0,DropINTable!AG12,DropINTable!AF12)</f>
        <v>to</v>
      </c>
      <c r="I7" s="46" t="str">
        <f>IF(+DropINTable!AG12=0,DropINTable!AH12,DropINTable!AG12)</f>
        <v>to</v>
      </c>
      <c r="J7" s="46" t="str">
        <f>IF(+DropINTable!AH12=0,DropINTable!AI12,DropINTable!AH12)</f>
        <v>to</v>
      </c>
      <c r="K7" s="46" t="str">
        <f>IF(+DropINTable!AI12=0,DropINTable!AJ12,DropINTable!AI12)</f>
        <v>to</v>
      </c>
      <c r="L7" s="46" t="str">
        <f>IF(+DropINTable!AJ12=0,DropINTable!AK12,DropINTable!AJ12)</f>
        <v>to</v>
      </c>
      <c r="M7" s="46" t="str">
        <f>IF(+DropINTable!AK12=0,DropINTable!AL12,DropINTable!AK12)</f>
        <v>to</v>
      </c>
      <c r="N7" s="46" t="str">
        <f>IF(+DropINTable!AL12=0,DropINTable!AM12,DropINTable!AL12)</f>
        <v>to</v>
      </c>
      <c r="O7" s="46" t="str">
        <f>IF(+DropINTable!AM12=0,DropINTable!AN12,DropINTable!AM12)</f>
        <v>to</v>
      </c>
      <c r="P7" s="46" t="str">
        <f>IF(+DropINTable!AN12=0,DropINTable!AO12,DropINTable!AN12)</f>
        <v>to</v>
      </c>
      <c r="Q7" s="46" t="str">
        <f>IF(+DropINTable!AO12=0,DropINTable!AP12,DropINTable!AO12)</f>
        <v>to</v>
      </c>
    </row>
    <row r="8" spans="1:40">
      <c r="D8" s="46"/>
      <c r="E8" s="46">
        <f>IF(+DropINTable!AC13=0,DropINTable!AD13,DropINTable!AC13)</f>
        <v>39000</v>
      </c>
      <c r="F8" s="46">
        <f>IF(+DropINTable!AD13=0,DropINTable!AE13,DropINTable!AD13)</f>
        <v>52000</v>
      </c>
      <c r="G8" s="46">
        <f>IF(+DropINTable!AE13=0,DropINTable!AF13,DropINTable!AE13)</f>
        <v>66000</v>
      </c>
      <c r="H8" s="46">
        <f>IF(+DropINTable!AF13=0,DropINTable!AG13,DropINTable!AF13)</f>
        <v>79000</v>
      </c>
      <c r="I8" s="46">
        <f>IF(+DropINTable!AG13=0,DropINTable!AH13,DropINTable!AG13)</f>
        <v>105000</v>
      </c>
      <c r="J8" s="46">
        <f>IF(+DropINTable!AH13=0,DropINTable!AI13,DropINTable!AH13)</f>
        <v>131000</v>
      </c>
      <c r="K8" s="46">
        <f>IF(+DropINTable!AI13=0,DropINTable!AJ13,DropINTable!AI13)</f>
        <v>157000</v>
      </c>
      <c r="L8" s="46">
        <f>IF(+DropINTable!AJ13=0,DropINTable!AK13,DropINTable!AJ13)</f>
        <v>184000</v>
      </c>
      <c r="M8" s="46">
        <f>IF(+DropINTable!AK13=0,DropINTable!AL13,DropINTable!AK13)</f>
        <v>210000</v>
      </c>
      <c r="N8" s="46">
        <f>IF(+DropINTable!AL13=0,DropINTable!AM13,DropINTable!AL13)</f>
        <v>262000</v>
      </c>
      <c r="O8" s="46">
        <f>IF(+DropINTable!AM13=0,DropINTable!AN13,DropINTable!AM13)</f>
        <v>328000</v>
      </c>
      <c r="P8" s="46">
        <f>IF(+DropINTable!AN13=0,DropINTable!AO13,DropINTable!AN13)</f>
        <v>394000</v>
      </c>
      <c r="Q8" s="46">
        <f>IF(+DropINTable!AO13=0,DropINTable!AP13,DropINTable!AO13)</f>
        <v>656000</v>
      </c>
    </row>
    <row r="9" spans="1:40" ht="50.25" customHeight="1">
      <c r="A9" s="369" t="s">
        <v>243</v>
      </c>
      <c r="B9" s="369"/>
      <c r="C9" s="369"/>
      <c r="D9" s="46">
        <f>IF(+DropINTable!AB14=0,DropINTable!AC14,DropINTable!AB14)</f>
        <v>0</v>
      </c>
      <c r="E9" s="46">
        <f>+E6</f>
        <v>26000</v>
      </c>
      <c r="F9" s="46">
        <f t="shared" ref="F9:Q9" si="0">+F6</f>
        <v>39000</v>
      </c>
      <c r="G9" s="46">
        <f t="shared" si="0"/>
        <v>52000</v>
      </c>
      <c r="H9" s="46">
        <f t="shared" si="0"/>
        <v>66000</v>
      </c>
      <c r="I9" s="46">
        <f t="shared" si="0"/>
        <v>79000</v>
      </c>
      <c r="J9" s="46">
        <f t="shared" si="0"/>
        <v>105000</v>
      </c>
      <c r="K9" s="46">
        <f t="shared" si="0"/>
        <v>131000</v>
      </c>
      <c r="L9" s="46">
        <f t="shared" si="0"/>
        <v>157000</v>
      </c>
      <c r="M9" s="46">
        <f t="shared" si="0"/>
        <v>184000</v>
      </c>
      <c r="N9" s="46">
        <f t="shared" si="0"/>
        <v>210000</v>
      </c>
      <c r="O9" s="46">
        <f t="shared" si="0"/>
        <v>262000</v>
      </c>
      <c r="P9" s="46">
        <f t="shared" si="0"/>
        <v>328000</v>
      </c>
      <c r="Q9" s="46">
        <f t="shared" si="0"/>
        <v>394000</v>
      </c>
    </row>
    <row r="10" spans="1:40">
      <c r="A10" t="s">
        <v>1086</v>
      </c>
      <c r="B10" s="86" t="s">
        <v>1087</v>
      </c>
      <c r="C10" t="str">
        <f>+CONCATENATE(A$9,B10)</f>
        <v>Australia2+0</v>
      </c>
      <c r="D10" s="46">
        <f>IF(+DropINTable!AB15=0,DropINTable!AC15,DropINTable!AB15)</f>
        <v>598.59527296115107</v>
      </c>
      <c r="E10" s="46">
        <f>IF(+DropINTable!AC15=0,DropINTable!AD15,DropINTable!AC15)</f>
        <v>598.59527296115107</v>
      </c>
      <c r="F10" s="46">
        <f>IF(+DropINTable!AD15=0,DropINTable!AE15,DropINTable!AD15)</f>
        <v>613.32872098779649</v>
      </c>
      <c r="G10" s="46">
        <f>IF(+DropINTable!AE15=0,DropINTable!AF15,DropINTable!AE15)</f>
        <v>638.18431144810233</v>
      </c>
      <c r="H10" s="46">
        <f>IF(+DropINTable!AF15=0,DropINTable!AG15,DropINTable!AF15)</f>
        <v>678.87315014878493</v>
      </c>
      <c r="I10" s="46">
        <f>IF(+DropINTable!AG15=0,DropINTable!AH15,DropINTable!AG15)</f>
        <v>741.81667604160373</v>
      </c>
      <c r="J10" s="46">
        <f>IF(+DropINTable!AH15=0,DropINTable!AI15,DropINTable!AH15)</f>
        <v>829.08944485757706</v>
      </c>
      <c r="K10" s="46">
        <f>IF(+DropINTable!AI15=0,DropINTable!AJ15,DropINTable!AI15)</f>
        <v>903.07293066606462</v>
      </c>
      <c r="L10" s="46">
        <f>IF(+DropINTable!AJ15=0,DropINTable!AK15,DropINTable!AJ15)</f>
        <v>985.39916656433468</v>
      </c>
      <c r="M10" s="46">
        <f>IF(+DropINTable!AK15=0,DropINTable!AL15,DropINTable!AK15)</f>
        <v>1033.7842059931695</v>
      </c>
      <c r="N10" s="46">
        <f>IF(+DropINTable!AL15=0,DropINTable!AM15,DropINTable!AL15)</f>
        <v>1099.8054338458803</v>
      </c>
      <c r="O10" s="46">
        <f>IF(+DropINTable!AM15=0,DropINTable!AN15,DropINTable!AM15)</f>
        <v>1216.3258149006804</v>
      </c>
      <c r="P10" s="46">
        <f>IF(+DropINTable!AN15=0,DropINTable!AO15,DropINTable!AN15)</f>
        <v>1388.6400400406708</v>
      </c>
      <c r="Q10" s="46">
        <f>IF(+DropINTable!AO15=0,DropINTable!AP15,DropINTable!AO15)</f>
        <v>1403.4678593893548</v>
      </c>
      <c r="S10" s="113"/>
      <c r="T10" s="113"/>
      <c r="U10" s="113"/>
      <c r="V10" s="113"/>
      <c r="W10" s="113"/>
      <c r="X10" s="113"/>
      <c r="Y10" s="113"/>
      <c r="Z10" s="113"/>
      <c r="AA10" s="113"/>
      <c r="AB10" s="113"/>
      <c r="AC10" s="113"/>
      <c r="AD10" s="113"/>
      <c r="AE10" s="113"/>
      <c r="AF10" s="113"/>
      <c r="AG10" s="113"/>
      <c r="AH10" s="113"/>
      <c r="AI10" s="113"/>
      <c r="AJ10" s="113"/>
      <c r="AK10" s="113"/>
      <c r="AL10" s="113"/>
      <c r="AM10" s="113"/>
      <c r="AN10" s="113"/>
    </row>
    <row r="11" spans="1:40">
      <c r="A11" t="s">
        <v>1088</v>
      </c>
      <c r="B11" s="86" t="s">
        <v>1089</v>
      </c>
      <c r="C11" t="str">
        <f>+CONCATENATE(A$9,B11)</f>
        <v>Australia2+1</v>
      </c>
      <c r="D11" s="46">
        <f>+E11</f>
        <v>703.51899957818148</v>
      </c>
      <c r="E11" s="46">
        <f>IF(+DropINTable!AC16=0,DropINTable!AD16,DropINTable!AC16)</f>
        <v>703.51899957818148</v>
      </c>
      <c r="F11" s="46">
        <f>IF(+DropINTable!AD16=0,DropINTable!AE16,DropINTable!AD16)</f>
        <v>703.51899957818148</v>
      </c>
      <c r="G11" s="46">
        <f>IF(+DropINTable!AE16=0,DropINTable!AF16,DropINTable!AE16)</f>
        <v>728.48082038791324</v>
      </c>
      <c r="H11" s="46">
        <f>IF(+DropINTable!AF16=0,DropINTable!AG16,DropINTable!AF16)</f>
        <v>769.34355930828247</v>
      </c>
      <c r="I11" s="46">
        <f>IF(+DropINTable!AG16=0,DropINTable!AH16,DropINTable!AG16)</f>
        <v>832.55609813203796</v>
      </c>
      <c r="J11" s="46">
        <f>IF(+DropINTable!AH16=0,DropINTable!AI16,DropINTable!AH16)</f>
        <v>920.20186214651881</v>
      </c>
      <c r="K11" s="46">
        <f>IF(+DropINTable!AI16=0,DropINTable!AJ16,DropINTable!AI16)</f>
        <v>994.50154633083537</v>
      </c>
      <c r="L11" s="46">
        <f>IF(+DropINTable!AJ16=0,DropINTable!AK16,DropINTable!AJ16)</f>
        <v>1077.1796333128111</v>
      </c>
      <c r="M11" s="46">
        <f>IF(+DropINTable!AK16=0,DropINTable!AL16,DropINTable!AK16)</f>
        <v>1125.7714689930131</v>
      </c>
      <c r="N11" s="46">
        <f>IF(+DropINTable!AL16=0,DropINTable!AM16,DropINTable!AL16)</f>
        <v>1192.0748656060207</v>
      </c>
      <c r="O11" s="46">
        <f>IF(+DropINTable!AM16=0,DropINTable!AN16,DropINTable!AM16)</f>
        <v>1309.0932390215287</v>
      </c>
      <c r="P11" s="46">
        <f>IF(+DropINTable!AN16=0,DropINTable!AO16,DropINTable!AN16)</f>
        <v>1482.1439182614597</v>
      </c>
      <c r="Q11" s="46">
        <f>IF(+DropINTable!AO16=0,DropINTable!AP16,DropINTable!AO16)</f>
        <v>1497.0351089850494</v>
      </c>
      <c r="S11" s="113"/>
      <c r="T11" s="113"/>
      <c r="U11" s="113"/>
      <c r="V11" s="113"/>
      <c r="W11" s="113"/>
      <c r="X11" s="113"/>
      <c r="Y11" s="113"/>
      <c r="Z11" s="113"/>
      <c r="AA11" s="113"/>
      <c r="AB11" s="113"/>
      <c r="AC11" s="113"/>
      <c r="AD11" s="113"/>
      <c r="AE11" s="113"/>
      <c r="AF11" s="113"/>
      <c r="AG11" s="113"/>
      <c r="AH11" s="113"/>
      <c r="AI11" s="113"/>
      <c r="AJ11" s="113"/>
      <c r="AK11" s="113"/>
      <c r="AL11" s="113"/>
      <c r="AM11" s="113"/>
      <c r="AN11" s="113"/>
    </row>
    <row r="12" spans="1:40">
      <c r="A12" t="s">
        <v>1090</v>
      </c>
      <c r="B12" s="86" t="s">
        <v>1091</v>
      </c>
      <c r="C12" t="str">
        <f>+CONCATENATE(A$9,B12)</f>
        <v>Australia2+2</v>
      </c>
      <c r="D12" s="46">
        <f t="shared" ref="D12" si="1">+E12</f>
        <v>769.22357063259119</v>
      </c>
      <c r="E12" s="46">
        <f>IF(+DropINTable!AC17=0,DropINTable!AD17,DropINTable!AC17)</f>
        <v>769.22357063259119</v>
      </c>
      <c r="F12" s="46">
        <f>IF(+DropINTable!AD17=0,DropINTable!AE17,DropINTable!AD17)</f>
        <v>769.22357063259119</v>
      </c>
      <c r="G12" s="46">
        <f>IF(+DropINTable!AE17=0,DropINTable!AF17,DropINTable!AE17)</f>
        <v>794.02242935592733</v>
      </c>
      <c r="H12" s="46">
        <f>IF(+DropINTable!AF17=0,DropINTable!AG17,DropINTable!AF17)</f>
        <v>834.61839960118948</v>
      </c>
      <c r="I12" s="46">
        <f>IF(+DropINTable!AG17=0,DropINTable!AH17,DropINTable!AG17)</f>
        <v>897.41826001395214</v>
      </c>
      <c r="J12" s="46">
        <f>IF(+DropINTable!AH17=0,DropINTable!AI17,DropINTable!AH17)</f>
        <v>984.49183384659568</v>
      </c>
      <c r="K12" s="46">
        <f>IF(+DropINTable!AI17=0,DropINTable!AJ17,DropINTable!AI17)</f>
        <v>1058.3064576088584</v>
      </c>
      <c r="L12" s="46">
        <f>IF(+DropINTable!AJ17=0,DropINTable!AK17,DropINTable!AJ17)</f>
        <v>1140.4447887788799</v>
      </c>
      <c r="M12" s="46">
        <f>IF(+DropINTable!AK17=0,DropINTable!AL17,DropINTable!AK17)</f>
        <v>1188.719394081538</v>
      </c>
      <c r="N12" s="46">
        <f>IF(+DropINTable!AL17=0,DropINTable!AM17,DropINTable!AL17)</f>
        <v>1254.5899333652314</v>
      </c>
      <c r="O12" s="46">
        <f>IF(+DropINTable!AM17=0,DropINTable!AN17,DropINTable!AM17)</f>
        <v>1370.8443620638839</v>
      </c>
      <c r="P12" s="46">
        <f>IF(+DropINTable!AN17=0,DropINTable!AO17,DropINTable!AN17)</f>
        <v>1542.765293290659</v>
      </c>
      <c r="Q12" s="46">
        <f>IF(+DropINTable!AO17=0,DropINTable!AP17,DropINTable!AO17)</f>
        <v>1557.5592675228254</v>
      </c>
      <c r="S12" s="113"/>
      <c r="T12" s="113"/>
      <c r="U12" s="113"/>
      <c r="V12" s="113"/>
      <c r="W12" s="113"/>
      <c r="X12" s="113"/>
      <c r="Y12" s="113"/>
      <c r="Z12" s="113"/>
      <c r="AA12" s="113"/>
      <c r="AB12" s="113"/>
      <c r="AC12" s="113"/>
      <c r="AD12" s="113"/>
      <c r="AE12" s="113"/>
      <c r="AF12" s="113"/>
      <c r="AG12" s="113"/>
      <c r="AH12" s="113"/>
      <c r="AI12" s="113"/>
      <c r="AJ12" s="113"/>
      <c r="AK12" s="113"/>
      <c r="AL12" s="113"/>
      <c r="AM12" s="113"/>
      <c r="AN12" s="113"/>
    </row>
    <row r="13" spans="1:40">
      <c r="A13" t="s">
        <v>1092</v>
      </c>
      <c r="B13" s="86" t="s">
        <v>1093</v>
      </c>
      <c r="C13" t="str">
        <f>+CONCATENATE(A$9,B13)</f>
        <v>Australia2+3</v>
      </c>
      <c r="D13" s="46">
        <f>+F13</f>
        <v>858.95471961975863</v>
      </c>
      <c r="E13" s="46">
        <f>+F13</f>
        <v>858.95471961975863</v>
      </c>
      <c r="F13" s="46">
        <f>IF(+DropINTable!AD18=0,DropINTable!AE18,DropINTable!AD18)</f>
        <v>858.95471961975863</v>
      </c>
      <c r="G13" s="46">
        <f>IF(+DropINTable!AE18=0,DropINTable!AF18,DropINTable!AE18)</f>
        <v>858.95471961975863</v>
      </c>
      <c r="H13" s="46">
        <f>IF(+DropINTable!AF18=0,DropINTable!AG18,DropINTable!AF18)</f>
        <v>899.53594275422711</v>
      </c>
      <c r="I13" s="46">
        <f>IF(+DropINTable!AG18=0,DropINTable!AH18,DropINTable!AG18)</f>
        <v>962.31299555738872</v>
      </c>
      <c r="J13" s="46">
        <f>IF(+DropINTable!AH18=0,DropINTable!AI18,DropINTable!AH18)</f>
        <v>1049.3549410704306</v>
      </c>
      <c r="K13" s="46">
        <f>IF(+DropINTable!AI18=0,DropINTable!AJ18,DropINTable!AI18)</f>
        <v>1123.1427536744909</v>
      </c>
      <c r="L13" s="46">
        <f>IF(+DropINTable!AJ18=0,DropINTable!AK18,DropINTable!AJ18)</f>
        <v>1205.2512476862421</v>
      </c>
      <c r="M13" s="46">
        <f>IF(+DropINTable!AK18=0,DropINTable!AL18,DropINTable!AK18)</f>
        <v>1253.5083181368573</v>
      </c>
      <c r="N13" s="46">
        <f>IF(+DropINTable!AL18=0,DropINTable!AM18,DropINTable!AL18)</f>
        <v>1319.3549311319284</v>
      </c>
      <c r="O13" s="46">
        <f>IF(+DropINTable!AM18=0,DropINTable!AN18,DropINTable!AM18)</f>
        <v>1435.5671329422671</v>
      </c>
      <c r="P13" s="46">
        <f>IF(+DropINTable!AN18=0,DropINTable!AO18,DropINTable!AN18)</f>
        <v>1607.4256140729617</v>
      </c>
      <c r="Q13" s="46">
        <f>IF(+DropINTable!AO18=0,DropINTable!AP18,DropINTable!AO18)</f>
        <v>1622.2142183478081</v>
      </c>
      <c r="S13" s="113"/>
      <c r="T13" s="113"/>
      <c r="U13" s="113"/>
      <c r="V13" s="113"/>
      <c r="W13" s="113"/>
      <c r="X13" s="113"/>
      <c r="Y13" s="113"/>
      <c r="Z13" s="113"/>
      <c r="AA13" s="113"/>
      <c r="AB13" s="113"/>
      <c r="AC13" s="113"/>
      <c r="AD13" s="113"/>
      <c r="AE13" s="113"/>
      <c r="AF13" s="113"/>
      <c r="AG13" s="113"/>
      <c r="AH13" s="113"/>
      <c r="AI13" s="113"/>
      <c r="AJ13" s="113"/>
      <c r="AK13" s="113"/>
      <c r="AL13" s="113"/>
      <c r="AM13" s="113"/>
      <c r="AN13" s="113"/>
    </row>
    <row r="14" spans="1:40">
      <c r="B14" s="86" t="s">
        <v>1094</v>
      </c>
      <c r="C14" t="str">
        <f t="shared" ref="C14:C16" si="2">+CONCATENATE(A$9,B14)</f>
        <v>Australia2+4</v>
      </c>
      <c r="D14" s="46">
        <f>+D13+Per_child_accounting!$AD$17</f>
        <v>949.14499821014363</v>
      </c>
      <c r="E14" s="46">
        <f>+E13+Per_child_accounting!$AD$17</f>
        <v>949.14499821014363</v>
      </c>
      <c r="F14" s="46">
        <f>+F13+Per_child_accounting!$AD$17</f>
        <v>949.14499821014363</v>
      </c>
      <c r="G14" s="46">
        <f>+G13+Per_child_accounting!$AE$17</f>
        <v>949.25122855956954</v>
      </c>
      <c r="H14" s="46">
        <f>+H13+Per_child_accounting!$AF$17</f>
        <v>990.00635191372464</v>
      </c>
      <c r="I14" s="46">
        <f>+I13+Per_child_accounting!$AG$17</f>
        <v>1053.0524176478229</v>
      </c>
      <c r="J14" s="46">
        <f>+J13+Per_child_accounting!$AH$17</f>
        <v>1140.4673583593724</v>
      </c>
      <c r="K14" s="46">
        <f>+K13+Per_child_accounting!$AI$17</f>
        <v>1214.5713693392618</v>
      </c>
      <c r="L14" s="46">
        <f>+L13+Per_child_accounting!$AJ$17</f>
        <v>1297.0317144347187</v>
      </c>
      <c r="M14" s="46">
        <f>+M13+Per_child_accounting!$AK$17</f>
        <v>1345.4955811367008</v>
      </c>
      <c r="N14" s="46">
        <f>+N13+Per_child_accounting!$AL$17</f>
        <v>1411.6243628920688</v>
      </c>
      <c r="O14" s="46">
        <f>+O13+Per_child_accounting!$AM$17</f>
        <v>1528.3345570631154</v>
      </c>
      <c r="P14" s="46">
        <f>+P13+Per_child_accounting!$AN$17</f>
        <v>1700.9294922937506</v>
      </c>
      <c r="Q14" s="46">
        <f>+Q13+Per_child_accounting!$AO$17</f>
        <v>1715.7814679435028</v>
      </c>
      <c r="S14" s="113"/>
      <c r="T14" s="113"/>
      <c r="U14" s="113"/>
      <c r="V14" s="113"/>
      <c r="W14" s="113"/>
      <c r="X14" s="113"/>
      <c r="Y14" s="113"/>
      <c r="Z14" s="113"/>
      <c r="AA14" s="113"/>
      <c r="AB14" s="113"/>
      <c r="AC14" s="113"/>
      <c r="AD14" s="113"/>
      <c r="AE14" s="113"/>
      <c r="AF14" s="113"/>
      <c r="AG14" s="113"/>
      <c r="AH14" s="113"/>
      <c r="AI14" s="113"/>
      <c r="AJ14" s="113"/>
      <c r="AK14" s="113"/>
      <c r="AL14" s="113"/>
      <c r="AM14" s="113"/>
      <c r="AN14" s="113"/>
    </row>
    <row r="15" spans="1:40">
      <c r="B15" s="86" t="s">
        <v>1095</v>
      </c>
      <c r="C15" t="str">
        <f t="shared" si="2"/>
        <v>Australia2+5</v>
      </c>
      <c r="D15" s="46">
        <f>+D14+Per_child_accounting!$AD$17</f>
        <v>1039.3352768005286</v>
      </c>
      <c r="E15" s="46">
        <f>+E14+Per_child_accounting!$AD$17</f>
        <v>1039.3352768005286</v>
      </c>
      <c r="F15" s="46">
        <f>+F14+Per_child_accounting!$AD$17</f>
        <v>1039.3352768005286</v>
      </c>
      <c r="G15" s="46">
        <f>+G14+Per_child_accounting!$AE$17</f>
        <v>1039.5477374993804</v>
      </c>
      <c r="H15" s="46">
        <f>+H14+Per_child_accounting!$AF$17</f>
        <v>1080.4767610732222</v>
      </c>
      <c r="I15" s="46">
        <f>+I14+Per_child_accounting!$AG$17</f>
        <v>1143.7918397382573</v>
      </c>
      <c r="J15" s="46">
        <f>+J14+Per_child_accounting!$AH$17</f>
        <v>1231.5797756483141</v>
      </c>
      <c r="K15" s="46">
        <f>+K14+Per_child_accounting!$AI$17</f>
        <v>1305.9999850040326</v>
      </c>
      <c r="L15" s="46">
        <f>+L14+Per_child_accounting!$AJ$17</f>
        <v>1388.8121811831952</v>
      </c>
      <c r="M15" s="46">
        <f>+M14+Per_child_accounting!$AK$17</f>
        <v>1437.4828441365444</v>
      </c>
      <c r="N15" s="46">
        <f>+N14+Per_child_accounting!$AL$17</f>
        <v>1503.8937946522092</v>
      </c>
      <c r="O15" s="46">
        <f>+O14+Per_child_accounting!$AM$17</f>
        <v>1621.1019811839637</v>
      </c>
      <c r="P15" s="46">
        <f>+P14+Per_child_accounting!$AN$17</f>
        <v>1794.4333705145395</v>
      </c>
      <c r="Q15" s="46">
        <f>+Q14+Per_child_accounting!$AO$17</f>
        <v>1809.3487175391974</v>
      </c>
      <c r="S15" s="113"/>
      <c r="T15" s="113"/>
      <c r="U15" s="113"/>
      <c r="V15" s="113"/>
      <c r="W15" s="113"/>
      <c r="X15" s="113"/>
      <c r="Y15" s="113"/>
      <c r="Z15" s="113"/>
      <c r="AA15" s="113"/>
      <c r="AB15" s="113"/>
      <c r="AC15" s="113"/>
      <c r="AD15" s="113"/>
      <c r="AE15" s="113"/>
      <c r="AF15" s="113"/>
      <c r="AG15" s="113"/>
      <c r="AH15" s="113"/>
      <c r="AI15" s="113"/>
      <c r="AJ15" s="113"/>
      <c r="AK15" s="113"/>
      <c r="AL15" s="113"/>
      <c r="AM15" s="113"/>
      <c r="AN15" s="113"/>
    </row>
    <row r="16" spans="1:40">
      <c r="B16" s="86" t="s">
        <v>1096</v>
      </c>
      <c r="C16" t="str">
        <f t="shared" si="2"/>
        <v>Australia2+6</v>
      </c>
      <c r="D16" s="46">
        <f>+D15+Per_child_accounting!$AD$17</f>
        <v>1129.5255553909137</v>
      </c>
      <c r="E16" s="46">
        <f>+E15+Per_child_accounting!$AD$17</f>
        <v>1129.5255553909137</v>
      </c>
      <c r="F16" s="46">
        <f>+F15+Per_child_accounting!$AD$17</f>
        <v>1129.5255553909137</v>
      </c>
      <c r="G16" s="46">
        <f>+G15+Per_child_accounting!$AE$17</f>
        <v>1129.8442464391915</v>
      </c>
      <c r="H16" s="46">
        <f>+H15+Per_child_accounting!$AF$17</f>
        <v>1170.9471702327196</v>
      </c>
      <c r="I16" s="46">
        <f>+I15+Per_child_accounting!$AG$17</f>
        <v>1234.5312618286916</v>
      </c>
      <c r="J16" s="46">
        <f>+J15+Per_child_accounting!$AH$17</f>
        <v>1322.6921929372559</v>
      </c>
      <c r="K16" s="46">
        <f>+K15+Per_child_accounting!$AI$17</f>
        <v>1397.4286006688035</v>
      </c>
      <c r="L16" s="46">
        <f>+L15+Per_child_accounting!$AJ$17</f>
        <v>1480.5926479316718</v>
      </c>
      <c r="M16" s="46">
        <f>+M15+Per_child_accounting!$AK$17</f>
        <v>1529.4701071363879</v>
      </c>
      <c r="N16" s="46">
        <f>+N15+Per_child_accounting!$AL$17</f>
        <v>1596.1632264123496</v>
      </c>
      <c r="O16" s="46">
        <f>+O15+Per_child_accounting!$AM$17</f>
        <v>1713.8694053048121</v>
      </c>
      <c r="P16" s="46">
        <f>+P15+Per_child_accounting!$AN$17</f>
        <v>1887.9372487353285</v>
      </c>
      <c r="Q16" s="46">
        <f>+Q15+Per_child_accounting!$AO$17</f>
        <v>1902.9159671348921</v>
      </c>
      <c r="S16" s="113"/>
      <c r="T16" s="113"/>
      <c r="U16" s="113"/>
      <c r="V16" s="113"/>
      <c r="W16" s="113"/>
      <c r="X16" s="113"/>
      <c r="Y16" s="113"/>
      <c r="Z16" s="113"/>
      <c r="AA16" s="113"/>
      <c r="AB16" s="113"/>
      <c r="AC16" s="113"/>
      <c r="AD16" s="113"/>
      <c r="AE16" s="113"/>
      <c r="AF16" s="113"/>
      <c r="AG16" s="113"/>
      <c r="AH16" s="113"/>
      <c r="AI16" s="113"/>
      <c r="AJ16" s="113"/>
      <c r="AK16" s="113"/>
      <c r="AL16" s="113"/>
      <c r="AM16" s="113"/>
      <c r="AN16" s="113"/>
    </row>
    <row r="17" spans="1:40">
      <c r="B17" s="86"/>
      <c r="D17" s="46"/>
      <c r="E17" s="46"/>
      <c r="F17" s="46"/>
      <c r="G17" s="46"/>
      <c r="H17" s="46"/>
      <c r="I17" s="46"/>
      <c r="J17" s="46"/>
      <c r="K17" s="46"/>
      <c r="L17" s="46"/>
      <c r="M17" s="46"/>
      <c r="N17" s="46"/>
      <c r="O17" s="46"/>
      <c r="P17" s="46"/>
      <c r="Q17" s="46"/>
      <c r="S17" s="113"/>
      <c r="T17" s="113"/>
      <c r="U17" s="113"/>
      <c r="V17" s="113"/>
      <c r="W17" s="113"/>
      <c r="X17" s="113"/>
      <c r="Y17" s="113"/>
      <c r="Z17" s="113"/>
      <c r="AA17" s="113"/>
      <c r="AB17" s="113"/>
      <c r="AC17" s="113"/>
      <c r="AD17" s="113"/>
      <c r="AE17" s="113"/>
      <c r="AF17" s="113"/>
      <c r="AG17" s="113"/>
      <c r="AH17" s="113"/>
      <c r="AI17" s="113"/>
      <c r="AJ17" s="113"/>
      <c r="AK17" s="113"/>
      <c r="AL17" s="113"/>
      <c r="AM17" s="113"/>
      <c r="AN17" s="113"/>
    </row>
    <row r="18" spans="1:40">
      <c r="A18" t="s">
        <v>1097</v>
      </c>
      <c r="B18" s="86" t="s">
        <v>1098</v>
      </c>
      <c r="C18" t="str">
        <f>+CONCATENATE(A$9,B18)</f>
        <v>Australia1+0</v>
      </c>
      <c r="D18" s="46">
        <f>IF(+DropINTable!AB20=0,DropINTable!AC20,DropINTable!AB20)</f>
        <v>310.89483099867698</v>
      </c>
      <c r="E18" s="46">
        <f>IF(+DropINTable!AC20=0,DropINTable!AD20,DropINTable!AC20)</f>
        <v>326.29851272032681</v>
      </c>
      <c r="F18" s="46">
        <f>IF(+DropINTable!AD20=0,DropINTable!AE20,DropINTable!AD20)</f>
        <v>341.05737465753998</v>
      </c>
      <c r="G18" s="46">
        <f>IF(+DropINTable!AE20=0,DropINTable!AF20,DropINTable!AE20)</f>
        <v>365.95583930203804</v>
      </c>
      <c r="H18" s="46">
        <f>IF(+DropINTable!AF20=0,DropINTable!AG20,DropINTable!AF20)</f>
        <v>406.71486302587834</v>
      </c>
      <c r="I18" s="46">
        <f>IF(+DropINTable!AG20=0,DropINTable!AH20,DropINTable!AG20)</f>
        <v>469.76696118332421</v>
      </c>
      <c r="J18" s="46">
        <f>IF(+DropINTable!AH20=0,DropINTable!AI20,DropINTable!AH20)</f>
        <v>557.1902680951348</v>
      </c>
      <c r="K18" s="46">
        <f>IF(+DropINTable!AI20=0,DropINTable!AJ20,DropINTable!AI20)</f>
        <v>631.30136956647016</v>
      </c>
      <c r="L18" s="46">
        <f>IF(+DropINTable!AJ20=0,DropINTable!AK20,DropINTable!AJ20)</f>
        <v>713.76961082432354</v>
      </c>
      <c r="M18" s="46">
        <f>IF(+DropINTable!AK20=0,DropINTable!AL20,DropINTable!AK20)</f>
        <v>762.2381119113943</v>
      </c>
      <c r="N18" s="46">
        <f>IF(+DropINTable!AL20=0,DropINTable!AM20,DropINTable!AL20)</f>
        <v>828.37322039507455</v>
      </c>
      <c r="O18" s="46">
        <f>IF(+DropINTable!AM20=0,DropINTable!AN20,DropINTable!AM20)</f>
        <v>945.09458852157081</v>
      </c>
      <c r="P18" s="46">
        <f>IF(+DropINTable!AN20=0,DropINTable!AO20,DropINTable!AN20)</f>
        <v>1117.706042671394</v>
      </c>
      <c r="Q18" s="46">
        <f>IF(+DropINTable!AO20=0,DropINTable!AP20,DropINTable!AO20)</f>
        <v>1132.5594370594013</v>
      </c>
      <c r="S18" s="113"/>
      <c r="T18" s="113"/>
      <c r="U18" s="113"/>
      <c r="V18" s="113"/>
      <c r="W18" s="113"/>
      <c r="X18" s="113"/>
      <c r="Y18" s="113"/>
      <c r="Z18" s="113"/>
      <c r="AA18" s="113"/>
      <c r="AB18" s="113"/>
      <c r="AC18" s="113"/>
      <c r="AD18" s="113"/>
      <c r="AE18" s="113"/>
      <c r="AF18" s="113"/>
      <c r="AG18" s="113"/>
      <c r="AH18" s="113"/>
      <c r="AI18" s="113"/>
      <c r="AJ18" s="113"/>
      <c r="AK18" s="113"/>
      <c r="AL18" s="113"/>
      <c r="AM18" s="113"/>
      <c r="AN18" s="113"/>
    </row>
    <row r="19" spans="1:40">
      <c r="A19" t="s">
        <v>1099</v>
      </c>
      <c r="B19" s="86" t="s">
        <v>1100</v>
      </c>
      <c r="C19" t="str">
        <f>+CONCATENATE(A$9,B19)</f>
        <v>Australia1+1</v>
      </c>
      <c r="D19" s="46">
        <f>IF(+DropINTable!AB21=0,DropINTable!AC21,DropINTable!AB21)</f>
        <v>424.90904387545123</v>
      </c>
      <c r="E19" s="46">
        <f>IF(+DropINTable!AC21=0,DropINTable!AD21,DropINTable!AC21)</f>
        <v>424.90904387545123</v>
      </c>
      <c r="F19" s="46">
        <f>IF(+DropINTable!AD21=0,DropINTable!AE21,DropINTable!AD21)</f>
        <v>439.56989377806684</v>
      </c>
      <c r="G19" s="46">
        <f>IF(+DropINTable!AE21=0,DropINTable!AF21,DropINTable!AE21)</f>
        <v>464.30300995471811</v>
      </c>
      <c r="H19" s="46">
        <f>IF(+DropINTable!AF21=0,DropINTable!AG21,DropINTable!AF21)</f>
        <v>504.79135502157334</v>
      </c>
      <c r="I19" s="46">
        <f>IF(+DropINTable!AG21=0,DropINTable!AH21,DropINTable!AG21)</f>
        <v>567.4247310593064</v>
      </c>
      <c r="J19" s="46">
        <f>IF(+DropINTable!AH21=0,DropINTable!AI21,DropINTable!AH21)</f>
        <v>654.26746821800543</v>
      </c>
      <c r="K19" s="46">
        <f>IF(+DropINTable!AI21=0,DropINTable!AJ21,DropINTable!AI21)</f>
        <v>727.88640364020387</v>
      </c>
      <c r="L19" s="46">
        <f>IF(+DropINTable!AJ21=0,DropINTable!AK21,DropINTable!AJ21)</f>
        <v>809.80697805257125</v>
      </c>
      <c r="M19" s="46">
        <f>IF(+DropINTable!AK21=0,DropINTable!AL21,DropINTable!AK21)</f>
        <v>857.95360496121623</v>
      </c>
      <c r="N19" s="46">
        <f>IF(+DropINTable!AL21=0,DropINTable!AM21,DropINTable!AL21)</f>
        <v>923.6495168639625</v>
      </c>
      <c r="O19" s="46">
        <f>IF(+DropINTable!AM21=0,DropINTable!AN21,DropINTable!AM21)</f>
        <v>1039.5957500898364</v>
      </c>
      <c r="P19" s="46">
        <f>IF(+DropINTable!AN21=0,DropINTable!AO21,DropINTable!AN21)</f>
        <v>1211.0609045023018</v>
      </c>
      <c r="Q19" s="46">
        <f>IF(+DropINTable!AO21=0,DropINTable!AP21,DropINTable!AO21)</f>
        <v>1225.815660316078</v>
      </c>
      <c r="S19" s="113"/>
      <c r="T19" s="113"/>
      <c r="U19" s="113"/>
      <c r="V19" s="113"/>
      <c r="W19" s="113"/>
      <c r="X19" s="113"/>
      <c r="Y19" s="113"/>
      <c r="Z19" s="113"/>
      <c r="AA19" s="113"/>
      <c r="AB19" s="113"/>
      <c r="AC19" s="113"/>
      <c r="AD19" s="113"/>
      <c r="AE19" s="113"/>
      <c r="AF19" s="113"/>
      <c r="AG19" s="113"/>
      <c r="AH19" s="113"/>
      <c r="AI19" s="113"/>
      <c r="AJ19" s="113"/>
      <c r="AK19" s="113"/>
      <c r="AL19" s="113"/>
      <c r="AM19" s="113"/>
      <c r="AN19" s="113"/>
    </row>
    <row r="20" spans="1:40">
      <c r="A20" t="s">
        <v>1101</v>
      </c>
      <c r="B20" s="86" t="s">
        <v>1102</v>
      </c>
      <c r="C20" t="str">
        <f>+CONCATENATE(A$9,B20)</f>
        <v>Australia1+2</v>
      </c>
      <c r="D20" s="46">
        <f>IF(+DropINTable!AB22=0,DropINTable!AC22,DropINTable!AB22)</f>
        <v>536.09536044700667</v>
      </c>
      <c r="E20" s="46">
        <f>IF(+DropINTable!AC22=0,DropINTable!AD22,DropINTable!AC22)</f>
        <v>536.09536044700667</v>
      </c>
      <c r="F20" s="46">
        <f>IF(+DropINTable!AD22=0,DropINTable!AE22,DropINTable!AD22)</f>
        <v>550.7352363766571</v>
      </c>
      <c r="G20" s="46">
        <f>IF(+DropINTable!AE22=0,DropINTable!AF22,DropINTable!AE22)</f>
        <v>575.43296870270058</v>
      </c>
      <c r="H20" s="46">
        <f>IF(+DropINTable!AF22=0,DropINTable!AG22,DropINTable!AF22)</f>
        <v>615.86339003494106</v>
      </c>
      <c r="I20" s="46">
        <f>IF(+DropINTable!AG22=0,DropINTable!AH22,DropINTable!AG22)</f>
        <v>678.40716288689691</v>
      </c>
      <c r="J20" s="46">
        <f>IF(+DropINTable!AH22=0,DropINTable!AI22,DropINTable!AH22)</f>
        <v>765.12565953203921</v>
      </c>
      <c r="K20" s="46">
        <f>IF(+DropINTable!AI22=0,DropINTable!AJ22,DropINTable!AI22)</f>
        <v>838.63927423550297</v>
      </c>
      <c r="L20" s="46">
        <f>IF(+DropINTable!AJ22=0,DropINTable!AK22,DropINTable!AJ22)</f>
        <v>920.44265485312951</v>
      </c>
      <c r="M20" s="46">
        <f>IF(+DropINTable!AK22=0,DropINTable!AL22,DropINTable!AK22)</f>
        <v>968.52039854140628</v>
      </c>
      <c r="N20" s="46">
        <f>IF(+DropINTable!AL22=0,DropINTable!AM22,DropINTable!AL22)</f>
        <v>1034.1223256102569</v>
      </c>
      <c r="O20" s="46">
        <f>IF(+DropINTable!AM22=0,DropINTable!AN22,DropINTable!AM22)</f>
        <v>1149.9026862788635</v>
      </c>
      <c r="P20" s="46">
        <f>IF(+DropINTable!AN22=0,DropINTable!AO22,DropINTable!AN22)</f>
        <v>1321.1225368023856</v>
      </c>
      <c r="Q20" s="46">
        <f>IF(+DropINTable!AO22=0,DropINTable!AP22,DropINTable!AO22)</f>
        <v>1335.8561845832317</v>
      </c>
      <c r="S20" s="113"/>
      <c r="T20" s="113"/>
      <c r="U20" s="113"/>
      <c r="V20" s="113"/>
      <c r="W20" s="113"/>
      <c r="X20" s="113"/>
      <c r="Y20" s="113"/>
      <c r="Z20" s="113"/>
      <c r="AA20" s="113"/>
      <c r="AB20" s="113"/>
      <c r="AC20" s="113"/>
      <c r="AD20" s="113"/>
      <c r="AE20" s="113"/>
      <c r="AF20" s="113"/>
      <c r="AG20" s="113"/>
      <c r="AH20" s="113"/>
      <c r="AI20" s="113"/>
      <c r="AJ20" s="113"/>
      <c r="AK20" s="113"/>
      <c r="AL20" s="113"/>
      <c r="AM20" s="113"/>
      <c r="AN20" s="113"/>
    </row>
    <row r="21" spans="1:40">
      <c r="A21" t="s">
        <v>1103</v>
      </c>
      <c r="B21" s="86" t="s">
        <v>1104</v>
      </c>
      <c r="C21" t="str">
        <f>+CONCATENATE(A$9,B21)</f>
        <v>Australia1+3</v>
      </c>
      <c r="D21" s="46">
        <f t="shared" ref="D21" si="3">+E21</f>
        <v>661.9005789752473</v>
      </c>
      <c r="E21" s="46">
        <f>IF(+DropINTable!AC23=0,DropINTable!AD23,DropINTable!AC23)</f>
        <v>661.9005789752473</v>
      </c>
      <c r="F21" s="46">
        <f>IF(+DropINTable!AD23=0,DropINTable!AE23,DropINTable!AD23)</f>
        <v>661.9005789752473</v>
      </c>
      <c r="G21" s="46">
        <f>IF(+DropINTable!AE23=0,DropINTable!AF23,DropINTable!AE23)</f>
        <v>686.56292745068299</v>
      </c>
      <c r="H21" s="46">
        <f>IF(+DropINTable!AF23=0,DropINTable!AG23,DropINTable!AF23)</f>
        <v>726.93542504830884</v>
      </c>
      <c r="I21" s="46">
        <f>IF(+DropINTable!AG23=0,DropINTable!AH23,DropINTable!AG23)</f>
        <v>789.38959471448743</v>
      </c>
      <c r="J21" s="46">
        <f>IF(+DropINTable!AH23=0,DropINTable!AI23,DropINTable!AH23)</f>
        <v>875.98385084607298</v>
      </c>
      <c r="K21" s="46">
        <f>IF(+DropINTable!AI23=0,DropINTable!AJ23,DropINTable!AI23)</f>
        <v>949.39214483080207</v>
      </c>
      <c r="L21" s="46">
        <f>IF(+DropINTable!AJ23=0,DropINTable!AK23,DropINTable!AJ23)</f>
        <v>1031.0783316536877</v>
      </c>
      <c r="M21" s="46">
        <f>IF(+DropINTable!AK23=0,DropINTable!AL23,DropINTable!AK23)</f>
        <v>1079.0871921215962</v>
      </c>
      <c r="N21" s="46">
        <f>IF(+DropINTable!AL23=0,DropINTable!AM23,DropINTable!AL23)</f>
        <v>1144.5951343565512</v>
      </c>
      <c r="O21" s="46">
        <f>IF(+DropINTable!AM23=0,DropINTable!AN23,DropINTable!AM23)</f>
        <v>1260.2096224678905</v>
      </c>
      <c r="P21" s="46">
        <f>IF(+DropINTable!AN23=0,DropINTable!AO23,DropINTable!AN23)</f>
        <v>1431.1841691024695</v>
      </c>
      <c r="Q21" s="46">
        <f>IF(+DropINTable!AO23=0,DropINTable!AP23,DropINTable!AO23)</f>
        <v>1445.8967088503853</v>
      </c>
      <c r="S21" s="113"/>
      <c r="T21" s="113"/>
      <c r="U21" s="113"/>
      <c r="V21" s="113"/>
      <c r="W21" s="113"/>
      <c r="X21" s="113"/>
      <c r="Y21" s="113"/>
      <c r="Z21" s="113"/>
      <c r="AA21" s="113"/>
      <c r="AB21" s="113"/>
      <c r="AC21" s="113"/>
      <c r="AD21" s="113"/>
      <c r="AE21" s="113"/>
      <c r="AF21" s="113"/>
      <c r="AG21" s="113"/>
      <c r="AH21" s="113"/>
      <c r="AI21" s="113"/>
      <c r="AJ21" s="113"/>
      <c r="AK21" s="113"/>
      <c r="AL21" s="113"/>
      <c r="AM21" s="113"/>
      <c r="AN21" s="113"/>
    </row>
    <row r="22" spans="1:40">
      <c r="B22" s="86" t="s">
        <v>1105</v>
      </c>
      <c r="C22" t="str">
        <f t="shared" ref="C22:C24" si="4">+CONCATENATE(A$9,B22)</f>
        <v>Australia1+4</v>
      </c>
      <c r="D22" s="46">
        <f>+D21+Per_child_accounting!$AD$20</f>
        <v>760.4130980957741</v>
      </c>
      <c r="E22" s="46">
        <f>+E21+Per_child_accounting!$AD$20</f>
        <v>760.4130980957741</v>
      </c>
      <c r="F22" s="46">
        <f>+F21+Per_child_accounting!$AD$20</f>
        <v>760.4130980957741</v>
      </c>
      <c r="G22" s="46">
        <f>+G21+Per_child_accounting!$AE$20</f>
        <v>784.910098103363</v>
      </c>
      <c r="H22" s="46">
        <f>+H21+Per_child_accounting!$AF$20</f>
        <v>825.01191704400389</v>
      </c>
      <c r="I22" s="46">
        <f>+I21+Per_child_accounting!$AG$20</f>
        <v>887.04736459046967</v>
      </c>
      <c r="J22" s="46">
        <f>+J21+Per_child_accounting!$AH$20</f>
        <v>973.06105096894362</v>
      </c>
      <c r="K22" s="46">
        <f>+K21+Per_child_accounting!$AI$20</f>
        <v>1045.9771789045358</v>
      </c>
      <c r="L22" s="46">
        <f>+L21+Per_child_accounting!$AJ$20</f>
        <v>1127.1156988819353</v>
      </c>
      <c r="M22" s="46">
        <f>+M21+Per_child_accounting!$AK$20</f>
        <v>1174.802685171418</v>
      </c>
      <c r="N22" s="46">
        <f>+N21+Per_child_accounting!$AL$20</f>
        <v>1239.8714308254391</v>
      </c>
      <c r="O22" s="46">
        <f>+O21+Per_child_accounting!$AM$20</f>
        <v>1354.7107840361562</v>
      </c>
      <c r="P22" s="46">
        <f>+P21+Per_child_accounting!$AN$20</f>
        <v>1524.5390309333773</v>
      </c>
      <c r="Q22" s="46">
        <f>+Q21+Per_child_accounting!$AO$20</f>
        <v>1539.152932107062</v>
      </c>
      <c r="S22" s="113"/>
      <c r="T22" s="113"/>
      <c r="U22" s="113"/>
      <c r="V22" s="113"/>
      <c r="W22" s="113"/>
      <c r="X22" s="113"/>
      <c r="Y22" s="113"/>
      <c r="Z22" s="113"/>
      <c r="AA22" s="113"/>
      <c r="AB22" s="113"/>
      <c r="AC22" s="113"/>
      <c r="AD22" s="113"/>
      <c r="AE22" s="113"/>
      <c r="AF22" s="113"/>
      <c r="AG22" s="113"/>
      <c r="AH22" s="113"/>
      <c r="AI22" s="113"/>
      <c r="AJ22" s="113"/>
      <c r="AK22" s="113"/>
      <c r="AL22" s="113"/>
      <c r="AM22" s="113"/>
      <c r="AN22" s="113"/>
    </row>
    <row r="23" spans="1:40">
      <c r="B23" s="86" t="s">
        <v>1106</v>
      </c>
      <c r="C23" t="str">
        <f t="shared" si="4"/>
        <v>Australia1+5</v>
      </c>
      <c r="D23" s="46">
        <f>+D22+Per_child_accounting!$AD$20</f>
        <v>858.92561721630091</v>
      </c>
      <c r="E23" s="46">
        <f>+E22+Per_child_accounting!$AD$20</f>
        <v>858.92561721630091</v>
      </c>
      <c r="F23" s="46">
        <f>+F22+Per_child_accounting!$AD$20</f>
        <v>858.92561721630091</v>
      </c>
      <c r="G23" s="46">
        <f>+G22+Per_child_accounting!$AE$20</f>
        <v>883.257268756043</v>
      </c>
      <c r="H23" s="46">
        <f>+H22+Per_child_accounting!$AF$20</f>
        <v>923.08840903969894</v>
      </c>
      <c r="I23" s="46">
        <f>+I22+Per_child_accounting!$AG$20</f>
        <v>984.70513446645191</v>
      </c>
      <c r="J23" s="46">
        <f>+J22+Per_child_accounting!$AH$20</f>
        <v>1070.1382510918143</v>
      </c>
      <c r="K23" s="46">
        <f>+K22+Per_child_accounting!$AI$20</f>
        <v>1142.5622129782696</v>
      </c>
      <c r="L23" s="46">
        <f>+L22+Per_child_accounting!$AJ$20</f>
        <v>1223.1530661101829</v>
      </c>
      <c r="M23" s="46">
        <f>+M22+Per_child_accounting!$AK$20</f>
        <v>1270.5181782212399</v>
      </c>
      <c r="N23" s="46">
        <f>+N22+Per_child_accounting!$AL$20</f>
        <v>1335.1477272943271</v>
      </c>
      <c r="O23" s="46">
        <f>+O22+Per_child_accounting!$AM$20</f>
        <v>1449.2119456044218</v>
      </c>
      <c r="P23" s="46">
        <f>+P22+Per_child_accounting!$AN$20</f>
        <v>1617.8938927642851</v>
      </c>
      <c r="Q23" s="46">
        <f>+Q22+Per_child_accounting!$AO$20</f>
        <v>1632.4091553637388</v>
      </c>
      <c r="S23" s="113"/>
      <c r="T23" s="113"/>
      <c r="U23" s="113"/>
      <c r="V23" s="113"/>
      <c r="W23" s="113"/>
      <c r="X23" s="113"/>
      <c r="Y23" s="113"/>
      <c r="Z23" s="113"/>
      <c r="AA23" s="113"/>
      <c r="AB23" s="113"/>
      <c r="AC23" s="113"/>
      <c r="AD23" s="113"/>
      <c r="AE23" s="113"/>
      <c r="AF23" s="113"/>
      <c r="AG23" s="113"/>
      <c r="AH23" s="113"/>
      <c r="AI23" s="113"/>
      <c r="AJ23" s="113"/>
      <c r="AK23" s="113"/>
      <c r="AL23" s="113"/>
      <c r="AM23" s="113"/>
      <c r="AN23" s="113"/>
    </row>
    <row r="24" spans="1:40">
      <c r="B24" s="86" t="s">
        <v>1107</v>
      </c>
      <c r="C24" t="str">
        <f t="shared" si="4"/>
        <v>Australia1+6</v>
      </c>
      <c r="D24" s="46">
        <f>+D23+Per_child_accounting!$AD$20</f>
        <v>957.43813633682771</v>
      </c>
      <c r="E24" s="46">
        <f>+E23+Per_child_accounting!$AD$20</f>
        <v>957.43813633682771</v>
      </c>
      <c r="F24" s="46">
        <f>+F23+Per_child_accounting!$AD$20</f>
        <v>957.43813633682771</v>
      </c>
      <c r="G24" s="46">
        <f>+G23+Per_child_accounting!$AE$20</f>
        <v>981.60443940872301</v>
      </c>
      <c r="H24" s="46">
        <f>+H23+Per_child_accounting!$AF$20</f>
        <v>1021.164901035394</v>
      </c>
      <c r="I24" s="46">
        <f>+I23+Per_child_accounting!$AG$20</f>
        <v>1082.3629043424341</v>
      </c>
      <c r="J24" s="46">
        <f>+J23+Per_child_accounting!$AH$20</f>
        <v>1167.2154512146849</v>
      </c>
      <c r="K24" s="46">
        <f>+K23+Per_child_accounting!$AI$20</f>
        <v>1239.1472470520034</v>
      </c>
      <c r="L24" s="46">
        <f>+L23+Per_child_accounting!$AJ$20</f>
        <v>1319.1904333384305</v>
      </c>
      <c r="M24" s="46">
        <f>+M23+Per_child_accounting!$AK$20</f>
        <v>1366.2336712710617</v>
      </c>
      <c r="N24" s="46">
        <f>+N23+Per_child_accounting!$AL$20</f>
        <v>1430.424023763215</v>
      </c>
      <c r="O24" s="46">
        <f>+O23+Per_child_accounting!$AM$20</f>
        <v>1543.7131071726874</v>
      </c>
      <c r="P24" s="46">
        <f>+P23+Per_child_accounting!$AN$20</f>
        <v>1711.2487545951928</v>
      </c>
      <c r="Q24" s="46">
        <f>+Q23+Per_child_accounting!$AO$20</f>
        <v>1725.6653786204156</v>
      </c>
      <c r="S24" s="113"/>
      <c r="T24" s="113"/>
      <c r="U24" s="113"/>
      <c r="V24" s="113"/>
      <c r="W24" s="113"/>
      <c r="X24" s="113"/>
      <c r="Y24" s="113"/>
      <c r="Z24" s="113"/>
      <c r="AA24" s="113"/>
      <c r="AB24" s="113"/>
      <c r="AC24" s="113"/>
      <c r="AD24" s="113"/>
      <c r="AE24" s="113"/>
      <c r="AF24" s="113"/>
      <c r="AG24" s="113"/>
      <c r="AH24" s="113"/>
      <c r="AI24" s="113"/>
      <c r="AJ24" s="113"/>
      <c r="AK24" s="113"/>
      <c r="AL24" s="113"/>
      <c r="AM24" s="113"/>
      <c r="AN24" s="113"/>
    </row>
    <row r="25" spans="1:40">
      <c r="D25" s="46"/>
      <c r="E25" s="46"/>
      <c r="F25" s="46"/>
      <c r="G25" s="46"/>
      <c r="H25" s="46"/>
      <c r="I25" s="46"/>
      <c r="J25" s="46"/>
      <c r="K25" s="46"/>
      <c r="L25" s="46"/>
      <c r="M25" s="46"/>
      <c r="N25" s="46"/>
      <c r="O25" s="46"/>
      <c r="P25" s="46"/>
      <c r="Q25" s="46"/>
      <c r="S25" s="113"/>
      <c r="T25" s="113"/>
      <c r="U25" s="113"/>
      <c r="V25" s="113"/>
      <c r="W25" s="113"/>
      <c r="X25" s="113"/>
      <c r="Y25" s="113"/>
      <c r="Z25" s="113"/>
      <c r="AA25" s="113"/>
      <c r="AB25" s="113"/>
      <c r="AC25" s="113"/>
      <c r="AD25" s="113"/>
      <c r="AE25" s="113"/>
      <c r="AF25" s="113"/>
      <c r="AG25" s="113"/>
      <c r="AH25" s="113"/>
      <c r="AI25" s="113"/>
      <c r="AJ25" s="113"/>
      <c r="AK25" s="113"/>
      <c r="AL25" s="113"/>
      <c r="AM25" s="113"/>
      <c r="AN25" s="113"/>
    </row>
    <row r="26" spans="1:40" ht="28.5">
      <c r="A26" s="369" t="s">
        <v>231</v>
      </c>
      <c r="B26" s="369"/>
      <c r="C26" s="369"/>
      <c r="D26" s="46"/>
      <c r="E26" s="46"/>
      <c r="F26" s="46"/>
      <c r="G26" s="46"/>
      <c r="H26" s="46"/>
      <c r="I26" s="46"/>
      <c r="J26" s="46"/>
      <c r="K26" s="46"/>
      <c r="L26" s="46"/>
      <c r="M26" s="46"/>
      <c r="N26" s="46"/>
      <c r="O26" s="46"/>
      <c r="P26" s="46"/>
      <c r="Q26" s="46"/>
      <c r="S26" s="113"/>
      <c r="T26" s="113"/>
      <c r="U26" s="113"/>
      <c r="V26" s="113"/>
      <c r="W26" s="113"/>
      <c r="X26" s="113"/>
      <c r="Y26" s="113"/>
      <c r="Z26" s="113"/>
      <c r="AA26" s="113"/>
      <c r="AB26" s="113"/>
      <c r="AC26" s="113"/>
      <c r="AD26" s="113"/>
      <c r="AE26" s="113"/>
      <c r="AF26" s="113"/>
      <c r="AG26" s="113"/>
      <c r="AH26" s="113"/>
      <c r="AI26" s="113"/>
      <c r="AJ26" s="113"/>
      <c r="AK26" s="113"/>
      <c r="AL26" s="113"/>
      <c r="AM26" s="113"/>
      <c r="AN26" s="113"/>
    </row>
    <row r="27" spans="1:40">
      <c r="A27" t="s">
        <v>1086</v>
      </c>
      <c r="B27" s="86" t="s">
        <v>1087</v>
      </c>
      <c r="C27" t="str">
        <f>+CONCATENATE(A$26,B27)</f>
        <v>Sydney2+0</v>
      </c>
      <c r="D27" s="46">
        <f>IF(+DropINTable!AB27=0,DropINTable!AC27,DropINTable!AB27)</f>
        <v>583.41654601340917</v>
      </c>
      <c r="E27" s="46">
        <f>IF(+DropINTable!AC27=0,DropINTable!AD27,DropINTable!AC27)</f>
        <v>583.41654601340917</v>
      </c>
      <c r="F27" s="46">
        <f>IF(+DropINTable!AD27=0,DropINTable!AE27,DropINTable!AD27)</f>
        <v>598.1499940811118</v>
      </c>
      <c r="G27" s="46">
        <f>IF(+DropINTable!AE27=0,DropINTable!AF27,DropINTable!AE27)</f>
        <v>623.00558465606775</v>
      </c>
      <c r="H27" s="46">
        <f>IF(+DropINTable!AF27=0,DropINTable!AG27,DropINTable!AF27)</f>
        <v>663.6944231305489</v>
      </c>
      <c r="I27" s="46">
        <f>IF(+DropINTable!AG27=0,DropINTable!AH27,DropINTable!AG27)</f>
        <v>726.63794938900844</v>
      </c>
      <c r="J27" s="46">
        <f>IF(+DropINTable!AH27=0,DropINTable!AI27,DropINTable!AH27)</f>
        <v>813.91071830723752</v>
      </c>
      <c r="K27" s="46">
        <f>IF(+DropINTable!AI27=0,DropINTable!AJ27,DropINTable!AI27)</f>
        <v>887.89420303739394</v>
      </c>
      <c r="L27" s="46">
        <f>IF(+DropINTable!AJ27=0,DropINTable!AK27,DropINTable!AJ27)</f>
        <v>970.22043922073999</v>
      </c>
      <c r="M27" s="46">
        <f>IF(+DropINTable!AK27=0,DropINTable!AL27,DropINTable!AK27)</f>
        <v>1018.6054793746596</v>
      </c>
      <c r="N27" s="46">
        <f>IF(+DropINTable!AL27=0,DropINTable!AM27,DropINTable!AL27)</f>
        <v>1084.626707809917</v>
      </c>
      <c r="O27" s="46">
        <f>IF(+DropINTable!AM27=0,DropINTable!AN27,DropINTable!AM27)</f>
        <v>1201.1470871294714</v>
      </c>
      <c r="P27" s="46">
        <f>IF(+DropINTable!AN27=0,DropINTable!AO27,DropINTable!AN27)</f>
        <v>1373.4613126351028</v>
      </c>
      <c r="Q27" s="46">
        <f>IF(+DropINTable!AO27=0,DropINTable!AP27,DropINTable!AO27)</f>
        <v>1388.2891323804145</v>
      </c>
      <c r="S27" s="113"/>
      <c r="T27" s="113"/>
      <c r="U27" s="113"/>
      <c r="V27" s="113"/>
      <c r="W27" s="113"/>
      <c r="X27" s="113"/>
      <c r="Y27" s="113"/>
      <c r="Z27" s="113"/>
      <c r="AA27" s="113"/>
      <c r="AB27" s="113"/>
      <c r="AC27" s="113"/>
      <c r="AD27" s="113"/>
      <c r="AE27" s="113"/>
      <c r="AF27" s="113"/>
      <c r="AG27" s="113"/>
      <c r="AH27" s="113"/>
      <c r="AI27" s="113"/>
      <c r="AJ27" s="113"/>
      <c r="AK27" s="113"/>
      <c r="AL27" s="113"/>
      <c r="AM27" s="113"/>
      <c r="AN27" s="113"/>
    </row>
    <row r="28" spans="1:40">
      <c r="A28" t="s">
        <v>1088</v>
      </c>
      <c r="B28" s="86" t="s">
        <v>1089</v>
      </c>
      <c r="C28" t="str">
        <f t="shared" ref="C28:C38" si="5">+CONCATENATE(A$26,B28)</f>
        <v>Sydney2+1</v>
      </c>
      <c r="D28" s="46">
        <f t="shared" ref="D28:D29" si="6">+E28</f>
        <v>687.5355437491138</v>
      </c>
      <c r="E28" s="46">
        <f>IF(+DropINTable!AC28=0,DropINTable!AD28,DropINTable!AC28)</f>
        <v>687.5355437491138</v>
      </c>
      <c r="F28" s="46">
        <f>IF(+DropINTable!AD28=0,DropINTable!AE28,DropINTable!AD28)</f>
        <v>687.5355437491138</v>
      </c>
      <c r="G28" s="46">
        <f>IF(+DropINTable!AE28=0,DropINTable!AF28,DropINTable!AE28)</f>
        <v>712.4973649920795</v>
      </c>
      <c r="H28" s="46">
        <f>IF(+DropINTable!AF28=0,DropINTable!AG28,DropINTable!AF28)</f>
        <v>753.36010326259793</v>
      </c>
      <c r="I28" s="46">
        <f>IF(+DropINTable!AG28=0,DropINTable!AH28,DropINTable!AG28)</f>
        <v>816.57264323666413</v>
      </c>
      <c r="J28" s="46">
        <f>IF(+DropINTable!AH28=0,DropINTable!AI28,DropINTable!AH28)</f>
        <v>904.21840711669313</v>
      </c>
      <c r="K28" s="46">
        <f>IF(+DropINTable!AI28=0,DropINTable!AJ28,DropINTable!AI28)</f>
        <v>978.51808929917013</v>
      </c>
      <c r="L28" s="46">
        <f>IF(+DropINTable!AJ28=0,DropINTable!AK28,DropINTable!AJ28)</f>
        <v>1061.1961796275045</v>
      </c>
      <c r="M28" s="46">
        <f>IF(+DropINTable!AK28=0,DropINTable!AL28,DropINTable!AK28)</f>
        <v>1109.7880127680594</v>
      </c>
      <c r="N28" s="46">
        <f>IF(+DropINTable!AL28=0,DropINTable!AM28,DropINTable!AL28)</f>
        <v>1176.0914070804449</v>
      </c>
      <c r="O28" s="46">
        <f>IF(+DropINTable!AM28=0,DropINTable!AN28,DropINTable!AM28)</f>
        <v>1293.1097830057226</v>
      </c>
      <c r="P28" s="46">
        <f>IF(+DropINTable!AN28=0,DropINTable!AO28,DropINTable!AN28)</f>
        <v>1466.1604630822433</v>
      </c>
      <c r="Q28" s="46">
        <f>IF(+DropINTable!AO28=0,DropINTable!AP28,DropINTable!AO28)</f>
        <v>1481.051653805833</v>
      </c>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29" spans="1:40">
      <c r="A29" t="s">
        <v>1090</v>
      </c>
      <c r="B29" s="86" t="s">
        <v>1091</v>
      </c>
      <c r="C29" t="str">
        <f t="shared" si="5"/>
        <v>Sydney2+2</v>
      </c>
      <c r="D29" s="46">
        <f t="shared" si="6"/>
        <v>753.73534303978727</v>
      </c>
      <c r="E29" s="46">
        <f>IF(+DropINTable!AC29=0,DropINTable!AD29,DropINTable!AC29)</f>
        <v>753.73534303978727</v>
      </c>
      <c r="F29" s="46">
        <f>IF(+DropINTable!AD29=0,DropINTable!AE29,DropINTable!AD29)</f>
        <v>753.73534303978727</v>
      </c>
      <c r="G29" s="46">
        <f>IF(+DropINTable!AE29=0,DropINTable!AF29,DropINTable!AE29)</f>
        <v>778.53420194603086</v>
      </c>
      <c r="H29" s="46">
        <f>IF(+DropINTable!AF29=0,DropINTable!AG29,DropINTable!AF29)</f>
        <v>819.1301701954477</v>
      </c>
      <c r="I29" s="46">
        <f>IF(+DropINTable!AG29=0,DropINTable!AH29,DropINTable!AG29)</f>
        <v>881.93003161958211</v>
      </c>
      <c r="J29" s="46">
        <f>IF(+DropINTable!AH29=0,DropINTable!AI29,DropINTable!AH29)</f>
        <v>969.00360493578057</v>
      </c>
      <c r="K29" s="46">
        <f>IF(+DropINTable!AI29=0,DropINTable!AJ29,DropINTable!AI29)</f>
        <v>1042.8182290961363</v>
      </c>
      <c r="L29" s="46">
        <f>IF(+DropINTable!AJ29=0,DropINTable!AK29,DropINTable!AJ29)</f>
        <v>1124.9565605458988</v>
      </c>
      <c r="M29" s="46">
        <f>IF(+DropINTable!AK29=0,DropINTable!AL29,DropINTable!AK29)</f>
        <v>1173.2311655042602</v>
      </c>
      <c r="N29" s="46">
        <f>IF(+DropINTable!AL29=0,DropINTable!AM29,DropINTable!AL29)</f>
        <v>1239.1017034322851</v>
      </c>
      <c r="O29" s="46">
        <f>IF(+DropINTable!AM29=0,DropINTable!AN29,DropINTable!AM29)</f>
        <v>1355.3561338954585</v>
      </c>
      <c r="P29" s="46">
        <f>IF(+DropINTable!AN29=0,DropINTable!AO29,DropINTable!AN29)</f>
        <v>1527.2770637450465</v>
      </c>
      <c r="Q29" s="46">
        <f>IF(+DropINTable!AO29=0,DropINTable!AP29,DropINTable!AO29)</f>
        <v>1542.0710404303277</v>
      </c>
      <c r="S29" s="113"/>
      <c r="T29" s="113"/>
      <c r="U29" s="113"/>
      <c r="V29" s="113"/>
      <c r="W29" s="113"/>
      <c r="X29" s="113"/>
      <c r="Y29" s="113"/>
      <c r="Z29" s="113"/>
      <c r="AA29" s="113"/>
      <c r="AB29" s="113"/>
      <c r="AC29" s="113"/>
      <c r="AD29" s="113"/>
      <c r="AE29" s="113"/>
      <c r="AF29" s="113"/>
      <c r="AG29" s="113"/>
      <c r="AH29" s="113"/>
      <c r="AI29" s="113"/>
      <c r="AJ29" s="113"/>
      <c r="AK29" s="113"/>
      <c r="AL29" s="113"/>
      <c r="AM29" s="113"/>
      <c r="AN29" s="113"/>
    </row>
    <row r="30" spans="1:40">
      <c r="A30" t="s">
        <v>1092</v>
      </c>
      <c r="B30" s="86" t="s">
        <v>1093</v>
      </c>
      <c r="C30" t="str">
        <f t="shared" si="5"/>
        <v>Sydney2+3</v>
      </c>
      <c r="D30" s="46">
        <f t="shared" ref="D30" si="7">+F30</f>
        <v>845.82983085422825</v>
      </c>
      <c r="E30" s="46">
        <f>+F30</f>
        <v>845.82983085422825</v>
      </c>
      <c r="F30" s="46">
        <f>IF(+DropINTable!AD30=0,DropINTable!AE30,DropINTable!AD30)</f>
        <v>845.82983085422825</v>
      </c>
      <c r="G30" s="46">
        <f>IF(+DropINTable!AE30=0,DropINTable!AF30,DropINTable!AE30)</f>
        <v>845.82983085422825</v>
      </c>
      <c r="H30" s="46">
        <f>IF(+DropINTable!AF30=0,DropINTable!AG30,DropINTable!AF30)</f>
        <v>886.41105298947525</v>
      </c>
      <c r="I30" s="46">
        <f>IF(+DropINTable!AG30=0,DropINTable!AH30,DropINTable!AG30)</f>
        <v>949.18810605713679</v>
      </c>
      <c r="J30" s="46">
        <f>IF(+DropINTable!AH30=0,DropINTable!AI30,DropINTable!AH30)</f>
        <v>1036.2300511587346</v>
      </c>
      <c r="K30" s="46">
        <f>IF(+DropINTable!AI30=0,DropINTable!AJ30,DropINTable!AI30)</f>
        <v>1110.0178653204048</v>
      </c>
      <c r="L30" s="46">
        <f>IF(+DropINTable!AJ30=0,DropINTable!AK30,DropINTable!AJ30)</f>
        <v>1192.1263595084893</v>
      </c>
      <c r="M30" s="46">
        <f>IF(+DropINTable!AK30=0,DropINTable!AL30,DropINTable!AK30)</f>
        <v>1240.3834294301048</v>
      </c>
      <c r="N30" s="46">
        <f>IF(+DropINTable!AL30=0,DropINTable!AM30,DropINTable!AL30)</f>
        <v>1306.2300413671767</v>
      </c>
      <c r="O30" s="46">
        <f>IF(+DropINTable!AM30=0,DropINTable!AN30,DropINTable!AM30)</f>
        <v>1422.4422459400691</v>
      </c>
      <c r="P30" s="46">
        <f>IF(+DropINTable!AN30=0,DropINTable!AO30,DropINTable!AN30)</f>
        <v>1594.3007264829866</v>
      </c>
      <c r="Q30" s="46">
        <f>IF(+DropINTable!AO30=0,DropINTable!AP30,DropINTable!AO30)</f>
        <v>1609.0893300525001</v>
      </c>
      <c r="S30" s="113"/>
      <c r="T30" s="113"/>
      <c r="U30" s="113"/>
      <c r="V30" s="113"/>
      <c r="W30" s="113"/>
      <c r="X30" s="113"/>
      <c r="Y30" s="113"/>
      <c r="Z30" s="113"/>
      <c r="AA30" s="113"/>
      <c r="AB30" s="113"/>
      <c r="AC30" s="113"/>
      <c r="AD30" s="113"/>
      <c r="AE30" s="113"/>
      <c r="AF30" s="113"/>
      <c r="AG30" s="113"/>
      <c r="AH30" s="113"/>
      <c r="AI30" s="113"/>
      <c r="AJ30" s="113"/>
      <c r="AK30" s="113"/>
      <c r="AL30" s="113"/>
      <c r="AM30" s="113"/>
      <c r="AN30" s="113"/>
    </row>
    <row r="31" spans="1:40">
      <c r="B31" s="86" t="s">
        <v>1094</v>
      </c>
      <c r="C31" t="str">
        <f t="shared" ref="C31:C33" si="8">+CONCATENATE(A$26,B31)</f>
        <v>Sydney2+4</v>
      </c>
      <c r="D31" s="46">
        <f>+D30+Per_child_accounting!$AD$25</f>
        <v>935.21538052223025</v>
      </c>
      <c r="E31" s="46">
        <f>+E30+Per_child_accounting!$AD$25</f>
        <v>935.21538052223025</v>
      </c>
      <c r="F31" s="46">
        <f>+F30+Per_child_accounting!$AD$25</f>
        <v>935.21538052223025</v>
      </c>
      <c r="G31" s="46">
        <f>+G30+Per_child_accounting!$AE$25</f>
        <v>935.32161119023999</v>
      </c>
      <c r="H31" s="46">
        <f>+H30+Per_child_accounting!$AF$25</f>
        <v>976.07673312152428</v>
      </c>
      <c r="I31" s="46">
        <f>+I30+Per_child_accounting!$AG$25</f>
        <v>1039.1227999047924</v>
      </c>
      <c r="J31" s="46">
        <f>+J30+Per_child_accounting!$AH$25</f>
        <v>1126.5377399681902</v>
      </c>
      <c r="K31" s="46">
        <f>+K30+Per_child_accounting!$AI$25</f>
        <v>1200.6417515821809</v>
      </c>
      <c r="L31" s="46">
        <f>+L30+Per_child_accounting!$AJ$25</f>
        <v>1283.1020999152538</v>
      </c>
      <c r="M31" s="46">
        <f>+M30+Per_child_accounting!$AK$25</f>
        <v>1331.5659628235046</v>
      </c>
      <c r="N31" s="46">
        <f>+N30+Per_child_accounting!$AL$25</f>
        <v>1397.6947406377046</v>
      </c>
      <c r="O31" s="46">
        <f>+O30+Per_child_accounting!$AM$25</f>
        <v>1514.4049418163204</v>
      </c>
      <c r="P31" s="46">
        <f>+P30+Per_child_accounting!$AN$25</f>
        <v>1686.9998769301271</v>
      </c>
      <c r="Q31" s="46">
        <f>+Q30+Per_child_accounting!$AO$25</f>
        <v>1701.8518514779187</v>
      </c>
      <c r="S31" s="113"/>
      <c r="T31" s="113"/>
      <c r="U31" s="113"/>
      <c r="V31" s="113"/>
      <c r="W31" s="113"/>
      <c r="X31" s="113"/>
      <c r="Y31" s="113"/>
      <c r="Z31" s="113"/>
      <c r="AA31" s="113"/>
      <c r="AB31" s="113"/>
      <c r="AC31" s="113"/>
      <c r="AD31" s="113"/>
      <c r="AE31" s="113"/>
      <c r="AF31" s="113"/>
      <c r="AG31" s="113"/>
      <c r="AH31" s="113"/>
      <c r="AI31" s="113"/>
      <c r="AJ31" s="113"/>
      <c r="AK31" s="113"/>
      <c r="AL31" s="113"/>
      <c r="AM31" s="113"/>
      <c r="AN31" s="113"/>
    </row>
    <row r="32" spans="1:40">
      <c r="B32" s="86" t="s">
        <v>1095</v>
      </c>
      <c r="C32" t="str">
        <f t="shared" si="8"/>
        <v>Sydney2+5</v>
      </c>
      <c r="D32" s="46">
        <f>+D31+Per_child_accounting!$AD$25</f>
        <v>1024.6009301902322</v>
      </c>
      <c r="E32" s="46">
        <f>+E31+Per_child_accounting!$AD$25</f>
        <v>1024.6009301902322</v>
      </c>
      <c r="F32" s="46">
        <f>+F31+Per_child_accounting!$AD$25</f>
        <v>1024.6009301902322</v>
      </c>
      <c r="G32" s="46">
        <f>+G31+Per_child_accounting!$AE$25</f>
        <v>1024.8133915262517</v>
      </c>
      <c r="H32" s="46">
        <f>+H31+Per_child_accounting!$AF$25</f>
        <v>1065.7424132535734</v>
      </c>
      <c r="I32" s="46">
        <f>+I31+Per_child_accounting!$AG$25</f>
        <v>1129.057493752448</v>
      </c>
      <c r="J32" s="46">
        <f>+J31+Per_child_accounting!$AH$25</f>
        <v>1216.8454287776458</v>
      </c>
      <c r="K32" s="46">
        <f>+K31+Per_child_accounting!$AI$25</f>
        <v>1291.2656378439569</v>
      </c>
      <c r="L32" s="46">
        <f>+L31+Per_child_accounting!$AJ$25</f>
        <v>1374.0778403220183</v>
      </c>
      <c r="M32" s="46">
        <f>+M31+Per_child_accounting!$AK$25</f>
        <v>1422.7484962169044</v>
      </c>
      <c r="N32" s="46">
        <f>+N31+Per_child_accounting!$AL$25</f>
        <v>1489.1594399082326</v>
      </c>
      <c r="O32" s="46">
        <f>+O31+Per_child_accounting!$AM$25</f>
        <v>1606.3676376925716</v>
      </c>
      <c r="P32" s="46">
        <f>+P31+Per_child_accounting!$AN$25</f>
        <v>1779.6990273772676</v>
      </c>
      <c r="Q32" s="46">
        <f>+Q31+Per_child_accounting!$AO$25</f>
        <v>1794.6143729033372</v>
      </c>
      <c r="S32" s="113"/>
      <c r="T32" s="113"/>
      <c r="U32" s="113"/>
      <c r="V32" s="113"/>
      <c r="W32" s="113"/>
      <c r="X32" s="113"/>
      <c r="Y32" s="113"/>
      <c r="Z32" s="113"/>
      <c r="AA32" s="113"/>
      <c r="AB32" s="113"/>
      <c r="AC32" s="113"/>
      <c r="AD32" s="113"/>
      <c r="AE32" s="113"/>
      <c r="AF32" s="113"/>
      <c r="AG32" s="113"/>
      <c r="AH32" s="113"/>
      <c r="AI32" s="113"/>
      <c r="AJ32" s="113"/>
      <c r="AK32" s="113"/>
      <c r="AL32" s="113"/>
      <c r="AM32" s="113"/>
      <c r="AN32" s="113"/>
    </row>
    <row r="33" spans="1:40">
      <c r="B33" s="86" t="s">
        <v>1096</v>
      </c>
      <c r="C33" t="str">
        <f t="shared" si="8"/>
        <v>Sydney2+6</v>
      </c>
      <c r="D33" s="46">
        <f>+D32+Per_child_accounting!$AD$25</f>
        <v>1113.9864798582344</v>
      </c>
      <c r="E33" s="46">
        <f>+E32+Per_child_accounting!$AD$25</f>
        <v>1113.9864798582344</v>
      </c>
      <c r="F33" s="46">
        <f>+F32+Per_child_accounting!$AD$25</f>
        <v>1113.9864798582344</v>
      </c>
      <c r="G33" s="46">
        <f>+G32+Per_child_accounting!$AE$25</f>
        <v>1114.3051718622635</v>
      </c>
      <c r="H33" s="46">
        <f>+H32+Per_child_accounting!$AF$25</f>
        <v>1155.4080933856226</v>
      </c>
      <c r="I33" s="46">
        <f>+I32+Per_child_accounting!$AG$25</f>
        <v>1218.9921876001035</v>
      </c>
      <c r="J33" s="46">
        <f>+J32+Per_child_accounting!$AH$25</f>
        <v>1307.1531175871014</v>
      </c>
      <c r="K33" s="46">
        <f>+K32+Per_child_accounting!$AI$25</f>
        <v>1381.889524105733</v>
      </c>
      <c r="L33" s="46">
        <f>+L32+Per_child_accounting!$AJ$25</f>
        <v>1465.0535807287829</v>
      </c>
      <c r="M33" s="46">
        <f>+M32+Per_child_accounting!$AK$25</f>
        <v>1513.9310296103042</v>
      </c>
      <c r="N33" s="46">
        <f>+N32+Per_child_accounting!$AL$25</f>
        <v>1580.6241391787605</v>
      </c>
      <c r="O33" s="46">
        <f>+O32+Per_child_accounting!$AM$25</f>
        <v>1698.3303335688229</v>
      </c>
      <c r="P33" s="46">
        <f>+P32+Per_child_accounting!$AN$25</f>
        <v>1872.3981778244081</v>
      </c>
      <c r="Q33" s="46">
        <f>+Q32+Per_child_accounting!$AO$25</f>
        <v>1887.3768943287557</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row>
    <row r="34" spans="1:40">
      <c r="B34" s="86"/>
      <c r="D34" s="46"/>
      <c r="E34" s="46"/>
      <c r="F34" s="46"/>
      <c r="G34" s="46"/>
      <c r="H34" s="46"/>
      <c r="I34" s="46"/>
      <c r="J34" s="46"/>
      <c r="K34" s="46"/>
      <c r="L34" s="46"/>
      <c r="M34" s="46"/>
      <c r="N34" s="46"/>
      <c r="O34" s="46"/>
      <c r="P34" s="46"/>
      <c r="Q34" s="46"/>
      <c r="S34" s="113"/>
      <c r="T34" s="113"/>
      <c r="U34" s="113"/>
      <c r="V34" s="113"/>
      <c r="W34" s="113"/>
      <c r="X34" s="113"/>
      <c r="Y34" s="113"/>
      <c r="Z34" s="113"/>
      <c r="AA34" s="113"/>
      <c r="AB34" s="113"/>
      <c r="AC34" s="113"/>
      <c r="AD34" s="113"/>
      <c r="AE34" s="113"/>
      <c r="AF34" s="113"/>
      <c r="AG34" s="113"/>
      <c r="AH34" s="113"/>
      <c r="AI34" s="113"/>
      <c r="AJ34" s="113"/>
      <c r="AK34" s="113"/>
      <c r="AL34" s="113"/>
      <c r="AM34" s="113"/>
      <c r="AN34" s="113"/>
    </row>
    <row r="35" spans="1:40">
      <c r="A35" t="s">
        <v>1097</v>
      </c>
      <c r="B35" s="86" t="s">
        <v>1098</v>
      </c>
      <c r="C35" t="str">
        <f t="shared" si="5"/>
        <v>Sydney1+0</v>
      </c>
      <c r="D35" s="46">
        <f>IF(+DropINTable!AB32=0,DropINTable!AC32,DropINTable!AB32)</f>
        <v>295.79084299272802</v>
      </c>
      <c r="E35" s="46">
        <f>IF(+DropINTable!AC32=0,DropINTable!AD32,DropINTable!AC32)</f>
        <v>311.19452439164729</v>
      </c>
      <c r="F35" s="46">
        <f>IF(+DropINTable!AD32=0,DropINTable!AE32,DropINTable!AD32)</f>
        <v>325.95338638756522</v>
      </c>
      <c r="G35" s="46">
        <f>IF(+DropINTable!AE32=0,DropINTable!AF32,DropINTable!AE32)</f>
        <v>350.85185092680712</v>
      </c>
      <c r="H35" s="46">
        <f>IF(+DropINTable!AF32=0,DropINTable!AG32,DropINTable!AF32)</f>
        <v>391.6108747763551</v>
      </c>
      <c r="I35" s="46">
        <f>IF(+DropINTable!AG32=0,DropINTable!AH32,DropINTable!AG32)</f>
        <v>454.6629723770036</v>
      </c>
      <c r="J35" s="46">
        <f>IF(+DropINTable!AH32=0,DropINTable!AI32,DropINTable!AH32)</f>
        <v>542.08627972911233</v>
      </c>
      <c r="K35" s="46">
        <f>IF(+DropINTable!AI32=0,DropINTable!AJ32,DropINTable!AI32)</f>
        <v>616.1973812706899</v>
      </c>
      <c r="L35" s="46">
        <f>IF(+DropINTable!AJ32=0,DropINTable!AK32,DropINTable!AJ32)</f>
        <v>698.6656221413549</v>
      </c>
      <c r="M35" s="46">
        <f>IF(+DropINTable!AK32=0,DropINTable!AL32,DropINTable!AK32)</f>
        <v>747.13412341345384</v>
      </c>
      <c r="N35" s="46">
        <f>IF(+DropINTable!AL32=0,DropINTable!AM32,DropINTable!AL32)</f>
        <v>813.26923280856863</v>
      </c>
      <c r="O35" s="46">
        <f>IF(+DropINTable!AM32=0,DropINTable!AN32,DropINTable!AM32)</f>
        <v>929.99059998251278</v>
      </c>
      <c r="P35" s="46">
        <f>IF(+DropINTable!AN32=0,DropINTable!AO32,DropINTable!AN32)</f>
        <v>1102.602054200865</v>
      </c>
      <c r="Q35" s="46">
        <f>IF(+DropINTable!AO32=0,DropINTable!AP32,DropINTable!AO32)</f>
        <v>1117.4554474307333</v>
      </c>
      <c r="S35" s="113"/>
      <c r="T35" s="113"/>
      <c r="U35" s="113"/>
      <c r="V35" s="113"/>
      <c r="W35" s="113"/>
      <c r="X35" s="113"/>
      <c r="Y35" s="113"/>
      <c r="Z35" s="113"/>
      <c r="AA35" s="113"/>
      <c r="AB35" s="113"/>
      <c r="AC35" s="113"/>
      <c r="AD35" s="113"/>
      <c r="AE35" s="113"/>
      <c r="AF35" s="113"/>
      <c r="AG35" s="113"/>
      <c r="AH35" s="113"/>
      <c r="AI35" s="113"/>
      <c r="AJ35" s="113"/>
      <c r="AK35" s="113"/>
      <c r="AL35" s="113"/>
      <c r="AM35" s="113"/>
      <c r="AN35" s="113"/>
    </row>
    <row r="36" spans="1:40">
      <c r="A36" t="s">
        <v>1099</v>
      </c>
      <c r="B36" s="86" t="s">
        <v>1100</v>
      </c>
      <c r="C36" t="str">
        <f t="shared" si="5"/>
        <v>Sydney1+1</v>
      </c>
      <c r="D36" s="46">
        <f>IF(+DropINTable!AB33=0,DropINTable!AC33,DropINTable!AB33)</f>
        <v>408.52511447941032</v>
      </c>
      <c r="E36" s="46">
        <f>IF(+DropINTable!AC33=0,DropINTable!AD33,DropINTable!AC33)</f>
        <v>408.52511447941032</v>
      </c>
      <c r="F36" s="46">
        <f>IF(+DropINTable!AD33=0,DropINTable!AE33,DropINTable!AD33)</f>
        <v>423.1859637359218</v>
      </c>
      <c r="G36" s="46">
        <f>IF(+DropINTable!AE33=0,DropINTable!AF33,DropINTable!AE33)</f>
        <v>447.9190803062927</v>
      </c>
      <c r="H36" s="46">
        <f>IF(+DropINTable!AF33=0,DropINTable!AG33,DropINTable!AF33)</f>
        <v>488.40742438380079</v>
      </c>
      <c r="I36" s="46">
        <f>IF(+DropINTable!AG33=0,DropINTable!AH33,DropINTable!AG33)</f>
        <v>551.04080003790955</v>
      </c>
      <c r="J36" s="46">
        <f>IF(+DropINTable!AH33=0,DropINTable!AI33,DropINTable!AH33)</f>
        <v>637.88353523810497</v>
      </c>
      <c r="K36" s="46">
        <f>IF(+DropINTable!AI33=0,DropINTable!AJ33,DropINTable!AI33)</f>
        <v>711.50247122564463</v>
      </c>
      <c r="L36" s="46">
        <f>IF(+DropINTable!AJ33=0,DropINTable!AK33,DropINTable!AJ33)</f>
        <v>793.42304915120394</v>
      </c>
      <c r="M36" s="46">
        <f>IF(+DropINTable!AK33=0,DropINTable!AL33,DropINTable!AK33)</f>
        <v>841.56967428306223</v>
      </c>
      <c r="N36" s="46">
        <f>IF(+DropINTable!AL33=0,DropINTable!AM33,DropINTable!AL33)</f>
        <v>907.26558586275632</v>
      </c>
      <c r="O36" s="46">
        <f>IF(+DropINTable!AM33=0,DropINTable!AN33,DropINTable!AM33)</f>
        <v>1023.2118180387109</v>
      </c>
      <c r="P36" s="46">
        <f>IF(+DropINTable!AN33=0,DropINTable!AO33,DropINTable!AN33)</f>
        <v>1194.6769734203326</v>
      </c>
      <c r="Q36" s="46">
        <f>IF(+DropINTable!AO33=0,DropINTable!AP33,DropINTable!AO33)</f>
        <v>1209.4317292341088</v>
      </c>
      <c r="S36" s="113"/>
      <c r="T36" s="113"/>
      <c r="U36" s="113"/>
      <c r="V36" s="113"/>
      <c r="W36" s="113"/>
      <c r="X36" s="113"/>
      <c r="Y36" s="113"/>
      <c r="Z36" s="113"/>
      <c r="AA36" s="113"/>
      <c r="AB36" s="113"/>
      <c r="AC36" s="113"/>
      <c r="AD36" s="113"/>
      <c r="AE36" s="113"/>
      <c r="AF36" s="113"/>
      <c r="AG36" s="113"/>
      <c r="AH36" s="113"/>
      <c r="AI36" s="113"/>
      <c r="AJ36" s="113"/>
      <c r="AK36" s="113"/>
      <c r="AL36" s="113"/>
      <c r="AM36" s="113"/>
      <c r="AN36" s="113"/>
    </row>
    <row r="37" spans="1:40">
      <c r="A37" t="s">
        <v>1101</v>
      </c>
      <c r="B37" s="86" t="s">
        <v>1102</v>
      </c>
      <c r="C37" t="str">
        <f t="shared" si="5"/>
        <v>Sydney1+2</v>
      </c>
      <c r="D37" s="46">
        <f>IF(+DropINTable!AB34=0,DropINTable!AC34,DropINTable!AB34)</f>
        <v>518.77346668027201</v>
      </c>
      <c r="E37" s="46">
        <f>IF(+DropINTable!AC34=0,DropINTable!AD34,DropINTable!AC34)</f>
        <v>518.77346668027201</v>
      </c>
      <c r="F37" s="46">
        <f>IF(+DropINTable!AD34=0,DropINTable!AE34,DropINTable!AD34)</f>
        <v>533.41334210866398</v>
      </c>
      <c r="G37" s="46">
        <f>IF(+DropINTable!AE34=0,DropINTable!AF34,DropINTable!AE34)</f>
        <v>558.11107519270797</v>
      </c>
      <c r="H37" s="46">
        <f>IF(+DropINTable!AF34=0,DropINTable!AG34,DropINTable!AF34)</f>
        <v>598.54150019269332</v>
      </c>
      <c r="I37" s="46">
        <f>IF(+DropINTable!AG34=0,DropINTable!AH34,DropINTable!AG34)</f>
        <v>661.08526913238802</v>
      </c>
      <c r="J37" s="46">
        <f>IF(+DropINTable!AH34=0,DropINTable!AI34,DropINTable!AH34)</f>
        <v>747.80376543520754</v>
      </c>
      <c r="K37" s="46">
        <f>IF(+DropINTable!AI34=0,DropINTable!AJ34,DropINTable!AI34)</f>
        <v>821.31738116563974</v>
      </c>
      <c r="L37" s="46">
        <f>IF(+DropINTable!AJ34=0,DropINTable!AK34,DropINTable!AJ34)</f>
        <v>903.12076197887961</v>
      </c>
      <c r="M37" s="46">
        <f>IF(+DropINTable!AK34=0,DropINTable!AL34,DropINTable!AK34)</f>
        <v>951.19850635180205</v>
      </c>
      <c r="N37" s="46">
        <f>IF(+DropINTable!AL34=0,DropINTable!AM34,DropINTable!AL34)</f>
        <v>1016.8004350833635</v>
      </c>
      <c r="O37" s="46">
        <f>IF(+DropINTable!AM34=0,DropINTable!AN34,DropINTable!AM34)</f>
        <v>1132.5807921331286</v>
      </c>
      <c r="P37" s="46">
        <f>IF(+DropINTable!AN34=0,DropINTable!AO34,DropINTable!AN34)</f>
        <v>1303.80064324349</v>
      </c>
      <c r="Q37" s="46">
        <f>IF(+DropINTable!AO34=0,DropINTable!AP34,DropINTable!AO34)</f>
        <v>1318.5342910243357</v>
      </c>
      <c r="S37" s="113"/>
      <c r="T37" s="113"/>
      <c r="U37" s="113"/>
      <c r="V37" s="113"/>
      <c r="W37" s="113"/>
      <c r="X37" s="113"/>
      <c r="Y37" s="113"/>
      <c r="Z37" s="113"/>
      <c r="AA37" s="113"/>
      <c r="AB37" s="113"/>
      <c r="AC37" s="113"/>
      <c r="AD37" s="113"/>
      <c r="AE37" s="113"/>
      <c r="AF37" s="113"/>
      <c r="AG37" s="113"/>
      <c r="AH37" s="113"/>
      <c r="AI37" s="113"/>
      <c r="AJ37" s="113"/>
      <c r="AK37" s="113"/>
      <c r="AL37" s="113"/>
      <c r="AM37" s="113"/>
      <c r="AN37" s="113"/>
    </row>
    <row r="38" spans="1:40">
      <c r="A38" t="s">
        <v>1103</v>
      </c>
      <c r="B38" s="86" t="s">
        <v>1104</v>
      </c>
      <c r="C38" t="str">
        <f t="shared" si="5"/>
        <v>Sydney1+3</v>
      </c>
      <c r="D38" s="46">
        <f t="shared" ref="D38" si="9">+E38</f>
        <v>643.64072048140611</v>
      </c>
      <c r="E38" s="46">
        <f>IF(+DropINTable!AC35=0,DropINTable!AD35,DropINTable!AC35)</f>
        <v>643.64072048140611</v>
      </c>
      <c r="F38" s="46">
        <f>IF(+DropINTable!AD35=0,DropINTable!AE35,DropINTable!AD35)</f>
        <v>643.64072048140611</v>
      </c>
      <c r="G38" s="46">
        <f>IF(+DropINTable!AE35=0,DropINTable!AF35,DropINTable!AE35)</f>
        <v>668.30307007912324</v>
      </c>
      <c r="H38" s="46">
        <f>IF(+DropINTable!AF35=0,DropINTable!AG35,DropINTable!AF35)</f>
        <v>708.6755760015858</v>
      </c>
      <c r="I38" s="46">
        <f>IF(+DropINTable!AG35=0,DropINTable!AH35,DropINTable!AG35)</f>
        <v>771.12973822686649</v>
      </c>
      <c r="J38" s="46">
        <f>IF(+DropINTable!AH35=0,DropINTable!AI35,DropINTable!AH35)</f>
        <v>857.72399563231011</v>
      </c>
      <c r="K38" s="46">
        <f>IF(+DropINTable!AI35=0,DropINTable!AJ35,DropINTable!AI35)</f>
        <v>931.13229110563486</v>
      </c>
      <c r="L38" s="46">
        <f>IF(+DropINTable!AJ35=0,DropINTable!AK35,DropINTable!AJ35)</f>
        <v>1012.8184748065553</v>
      </c>
      <c r="M38" s="46">
        <f>IF(+DropINTable!AK35=0,DropINTable!AL35,DropINTable!AK35)</f>
        <v>1060.8273384205418</v>
      </c>
      <c r="N38" s="46">
        <f>IF(+DropINTable!AL35=0,DropINTable!AM35,DropINTable!AL35)</f>
        <v>1126.3352843039706</v>
      </c>
      <c r="O38" s="46">
        <f>IF(+DropINTable!AM35=0,DropINTable!AN35,DropINTable!AM35)</f>
        <v>1241.9497662275462</v>
      </c>
      <c r="P38" s="46">
        <f>IF(+DropINTable!AN35=0,DropINTable!AO35,DropINTable!AN35)</f>
        <v>1412.9243130666473</v>
      </c>
      <c r="Q38" s="46">
        <f>IF(+DropINTable!AO35=0,DropINTable!AP35,DropINTable!AO35)</f>
        <v>1427.6368528145626</v>
      </c>
      <c r="S38" s="113"/>
      <c r="T38" s="113"/>
      <c r="U38" s="113"/>
      <c r="V38" s="113"/>
      <c r="W38" s="113"/>
      <c r="X38" s="113"/>
      <c r="Y38" s="113"/>
      <c r="Z38" s="113"/>
      <c r="AA38" s="113"/>
      <c r="AB38" s="113"/>
      <c r="AC38" s="113"/>
      <c r="AD38" s="113"/>
      <c r="AE38" s="113"/>
      <c r="AF38" s="113"/>
      <c r="AG38" s="113"/>
      <c r="AH38" s="113"/>
      <c r="AI38" s="113"/>
      <c r="AJ38" s="113"/>
      <c r="AK38" s="113"/>
      <c r="AL38" s="113"/>
      <c r="AM38" s="113"/>
      <c r="AN38" s="113"/>
    </row>
    <row r="39" spans="1:40">
      <c r="B39" s="86" t="s">
        <v>1105</v>
      </c>
      <c r="C39" t="str">
        <f t="shared" ref="C39:C41" si="10">+CONCATENATE(A$26,B39)</f>
        <v>Sydney1+4</v>
      </c>
      <c r="D39" s="46">
        <f>+D38+Per_child_accounting!$AD$28</f>
        <v>740.87329782976269</v>
      </c>
      <c r="E39" s="46">
        <f>+E38+Per_child_accounting!$AD$28</f>
        <v>740.87329782976269</v>
      </c>
      <c r="F39" s="46">
        <f>+F38+Per_child_accounting!$AD$28</f>
        <v>740.87329782976269</v>
      </c>
      <c r="G39" s="46">
        <f>+G38+Per_child_accounting!$AE$28</f>
        <v>765.37029945860877</v>
      </c>
      <c r="H39" s="46">
        <f>+H38+Per_child_accounting!$AF$28</f>
        <v>805.47212560903154</v>
      </c>
      <c r="I39" s="46">
        <f>+I38+Per_child_accounting!$AG$28</f>
        <v>867.50756588777244</v>
      </c>
      <c r="J39" s="46">
        <f>+J38+Per_child_accounting!$AH$28</f>
        <v>953.52125114130274</v>
      </c>
      <c r="K39" s="46">
        <f>+K38+Per_child_accounting!$AI$28</f>
        <v>1026.4373810605896</v>
      </c>
      <c r="L39" s="46">
        <f>+L38+Per_child_accounting!$AJ$28</f>
        <v>1107.5759018164044</v>
      </c>
      <c r="M39" s="46">
        <f>+M38+Per_child_accounting!$AK$28</f>
        <v>1155.2628892901503</v>
      </c>
      <c r="N39" s="46">
        <f>+N38+Per_child_accounting!$AL$28</f>
        <v>1220.3316373581583</v>
      </c>
      <c r="O39" s="46">
        <f>+O38+Per_child_accounting!$AM$28</f>
        <v>1335.1709842837445</v>
      </c>
      <c r="P39" s="46">
        <f>+P38+Per_child_accounting!$AN$28</f>
        <v>1504.9992322861149</v>
      </c>
      <c r="Q39" s="46">
        <f>+Q38+Per_child_accounting!$AO$28</f>
        <v>1519.6131346179382</v>
      </c>
      <c r="S39" s="113"/>
      <c r="T39" s="113"/>
      <c r="U39" s="113"/>
      <c r="V39" s="113"/>
      <c r="W39" s="113"/>
      <c r="X39" s="113"/>
      <c r="Y39" s="113"/>
      <c r="Z39" s="113"/>
      <c r="AA39" s="113"/>
      <c r="AB39" s="113"/>
      <c r="AC39" s="113"/>
      <c r="AD39" s="113"/>
      <c r="AE39" s="113"/>
      <c r="AF39" s="113"/>
      <c r="AG39" s="113"/>
      <c r="AH39" s="113"/>
      <c r="AI39" s="113"/>
      <c r="AJ39" s="113"/>
      <c r="AK39" s="113"/>
      <c r="AL39" s="113"/>
      <c r="AM39" s="113"/>
      <c r="AN39" s="113"/>
    </row>
    <row r="40" spans="1:40">
      <c r="B40" s="86" t="s">
        <v>1106</v>
      </c>
      <c r="C40" t="str">
        <f t="shared" si="10"/>
        <v>Sydney1+5</v>
      </c>
      <c r="D40" s="46">
        <f>+D39+Per_child_accounting!$AD$28</f>
        <v>838.10587517811928</v>
      </c>
      <c r="E40" s="46">
        <f>+E39+Per_child_accounting!$AD$28</f>
        <v>838.10587517811928</v>
      </c>
      <c r="F40" s="46">
        <f>+F39+Per_child_accounting!$AD$28</f>
        <v>838.10587517811928</v>
      </c>
      <c r="G40" s="46">
        <f>+G39+Per_child_accounting!$AE$28</f>
        <v>862.43752883809429</v>
      </c>
      <c r="H40" s="46">
        <f>+H39+Per_child_accounting!$AF$28</f>
        <v>902.26867521647728</v>
      </c>
      <c r="I40" s="46">
        <f>+I39+Per_child_accounting!$AG$28</f>
        <v>963.88539354867839</v>
      </c>
      <c r="J40" s="46">
        <f>+J39+Per_child_accounting!$AH$28</f>
        <v>1049.3185066502954</v>
      </c>
      <c r="K40" s="46">
        <f>+K39+Per_child_accounting!$AI$28</f>
        <v>1121.7424710155442</v>
      </c>
      <c r="L40" s="46">
        <f>+L39+Per_child_accounting!$AJ$28</f>
        <v>1202.3333288262534</v>
      </c>
      <c r="M40" s="46">
        <f>+M39+Per_child_accounting!$AK$28</f>
        <v>1249.6984401597588</v>
      </c>
      <c r="N40" s="46">
        <f>+N39+Per_child_accounting!$AL$28</f>
        <v>1314.327990412346</v>
      </c>
      <c r="O40" s="46">
        <f>+O39+Per_child_accounting!$AM$28</f>
        <v>1428.3922023399427</v>
      </c>
      <c r="P40" s="46">
        <f>+P39+Per_child_accounting!$AN$28</f>
        <v>1597.0741515055824</v>
      </c>
      <c r="Q40" s="46">
        <f>+Q39+Per_child_accounting!$AO$28</f>
        <v>1611.5894164213137</v>
      </c>
      <c r="S40" s="113"/>
      <c r="T40" s="113"/>
      <c r="U40" s="113"/>
      <c r="V40" s="113"/>
      <c r="W40" s="113"/>
      <c r="X40" s="113"/>
      <c r="Y40" s="113"/>
      <c r="Z40" s="113"/>
      <c r="AA40" s="113"/>
      <c r="AB40" s="113"/>
      <c r="AC40" s="113"/>
      <c r="AD40" s="113"/>
      <c r="AE40" s="113"/>
      <c r="AF40" s="113"/>
      <c r="AG40" s="113"/>
      <c r="AH40" s="113"/>
      <c r="AI40" s="113"/>
      <c r="AJ40" s="113"/>
      <c r="AK40" s="113"/>
      <c r="AL40" s="113"/>
      <c r="AM40" s="113"/>
      <c r="AN40" s="113"/>
    </row>
    <row r="41" spans="1:40">
      <c r="B41" s="86" t="s">
        <v>1107</v>
      </c>
      <c r="C41" t="str">
        <f t="shared" si="10"/>
        <v>Sydney1+6</v>
      </c>
      <c r="D41" s="46">
        <f>+D40+Per_child_accounting!$AD$28</f>
        <v>935.33845252647586</v>
      </c>
      <c r="E41" s="46">
        <f>+E40+Per_child_accounting!$AD$28</f>
        <v>935.33845252647586</v>
      </c>
      <c r="F41" s="46">
        <f>+F40+Per_child_accounting!$AD$28</f>
        <v>935.33845252647586</v>
      </c>
      <c r="G41" s="46">
        <f>+G40+Per_child_accounting!$AE$28</f>
        <v>959.50475821757982</v>
      </c>
      <c r="H41" s="46">
        <f>+H40+Per_child_accounting!$AF$28</f>
        <v>999.06522482392302</v>
      </c>
      <c r="I41" s="46">
        <f>+I40+Per_child_accounting!$AG$28</f>
        <v>1060.2632212095843</v>
      </c>
      <c r="J41" s="46">
        <f>+J40+Per_child_accounting!$AH$28</f>
        <v>1145.1157621592879</v>
      </c>
      <c r="K41" s="46">
        <f>+K40+Per_child_accounting!$AI$28</f>
        <v>1217.047560970499</v>
      </c>
      <c r="L41" s="46">
        <f>+L40+Per_child_accounting!$AJ$28</f>
        <v>1297.0907558361023</v>
      </c>
      <c r="M41" s="46">
        <f>+M40+Per_child_accounting!$AK$28</f>
        <v>1344.1339910293673</v>
      </c>
      <c r="N41" s="46">
        <f>+N40+Per_child_accounting!$AL$28</f>
        <v>1408.3243434665337</v>
      </c>
      <c r="O41" s="46">
        <f>+O40+Per_child_accounting!$AM$28</f>
        <v>1521.613420396141</v>
      </c>
      <c r="P41" s="46">
        <f>+P40+Per_child_accounting!$AN$28</f>
        <v>1689.14907072505</v>
      </c>
      <c r="Q41" s="46">
        <f>+Q40+Per_child_accounting!$AO$28</f>
        <v>1703.5656982246892</v>
      </c>
      <c r="S41" s="113"/>
      <c r="T41" s="113"/>
      <c r="U41" s="113"/>
      <c r="V41" s="113"/>
      <c r="W41" s="113"/>
      <c r="X41" s="113"/>
      <c r="Y41" s="113"/>
      <c r="Z41" s="113"/>
      <c r="AA41" s="113"/>
      <c r="AB41" s="113"/>
      <c r="AC41" s="113"/>
      <c r="AD41" s="113"/>
      <c r="AE41" s="113"/>
      <c r="AF41" s="113"/>
      <c r="AG41" s="113"/>
      <c r="AH41" s="113"/>
      <c r="AI41" s="113"/>
      <c r="AJ41" s="113"/>
      <c r="AK41" s="113"/>
      <c r="AL41" s="113"/>
      <c r="AM41" s="113"/>
      <c r="AN41" s="113"/>
    </row>
    <row r="42" spans="1:40">
      <c r="D42" s="46"/>
      <c r="E42" s="46"/>
      <c r="F42" s="46"/>
      <c r="G42" s="46"/>
      <c r="H42" s="46"/>
      <c r="I42" s="46"/>
      <c r="J42" s="46"/>
      <c r="K42" s="46"/>
      <c r="L42" s="46"/>
      <c r="M42" s="46"/>
      <c r="N42" s="46"/>
      <c r="O42" s="46"/>
      <c r="P42" s="46"/>
      <c r="Q42" s="46"/>
      <c r="S42" s="113"/>
      <c r="T42" s="113"/>
      <c r="U42" s="113"/>
      <c r="V42" s="113"/>
      <c r="W42" s="113"/>
      <c r="X42" s="113"/>
      <c r="Y42" s="113"/>
      <c r="Z42" s="113"/>
      <c r="AA42" s="113"/>
      <c r="AB42" s="113"/>
      <c r="AC42" s="113"/>
      <c r="AD42" s="113"/>
      <c r="AE42" s="113"/>
      <c r="AF42" s="113"/>
      <c r="AG42" s="113"/>
      <c r="AH42" s="113"/>
      <c r="AI42" s="113"/>
      <c r="AJ42" s="113"/>
      <c r="AK42" s="113"/>
      <c r="AL42" s="113"/>
      <c r="AM42" s="113"/>
      <c r="AN42" s="113"/>
    </row>
    <row r="43" spans="1:40">
      <c r="D43" s="46"/>
      <c r="E43" s="46"/>
      <c r="F43" s="46"/>
      <c r="G43" s="46"/>
      <c r="H43" s="46"/>
      <c r="I43" s="46"/>
      <c r="J43" s="46"/>
      <c r="K43" s="46"/>
      <c r="L43" s="46"/>
      <c r="M43" s="46"/>
      <c r="N43" s="46"/>
      <c r="O43" s="46"/>
      <c r="P43" s="46"/>
      <c r="Q43" s="46"/>
      <c r="S43" s="113"/>
      <c r="T43" s="113"/>
      <c r="U43" s="113"/>
      <c r="V43" s="113"/>
      <c r="W43" s="113"/>
      <c r="X43" s="113"/>
      <c r="Y43" s="113"/>
      <c r="Z43" s="113"/>
      <c r="AA43" s="113"/>
      <c r="AB43" s="113"/>
      <c r="AC43" s="113"/>
      <c r="AD43" s="113"/>
      <c r="AE43" s="113"/>
      <c r="AF43" s="113"/>
      <c r="AG43" s="113"/>
      <c r="AH43" s="113"/>
      <c r="AI43" s="113"/>
      <c r="AJ43" s="113"/>
      <c r="AK43" s="113"/>
      <c r="AL43" s="113"/>
      <c r="AM43" s="113"/>
      <c r="AN43" s="113"/>
    </row>
    <row r="44" spans="1:40" ht="28.5">
      <c r="A44" s="369" t="s">
        <v>238</v>
      </c>
      <c r="B44" s="369"/>
      <c r="C44" s="369"/>
      <c r="D44" s="46"/>
      <c r="E44" s="46"/>
      <c r="F44" s="46"/>
      <c r="G44" s="46"/>
      <c r="H44" s="46"/>
      <c r="I44" s="46"/>
      <c r="J44" s="46"/>
      <c r="K44" s="46"/>
      <c r="L44" s="46"/>
      <c r="M44" s="46"/>
      <c r="N44" s="46"/>
      <c r="O44" s="46"/>
      <c r="P44" s="46"/>
      <c r="Q44" s="46"/>
      <c r="S44" s="113"/>
      <c r="T44" s="113"/>
      <c r="U44" s="113"/>
      <c r="V44" s="113"/>
      <c r="W44" s="113"/>
      <c r="X44" s="113"/>
      <c r="Y44" s="113"/>
      <c r="Z44" s="113"/>
      <c r="AA44" s="113"/>
      <c r="AB44" s="113"/>
      <c r="AC44" s="113"/>
      <c r="AD44" s="113"/>
      <c r="AE44" s="113"/>
      <c r="AF44" s="113"/>
      <c r="AG44" s="113"/>
      <c r="AH44" s="113"/>
      <c r="AI44" s="113"/>
      <c r="AJ44" s="113"/>
      <c r="AK44" s="113"/>
      <c r="AL44" s="113"/>
      <c r="AM44" s="113"/>
      <c r="AN44" s="113"/>
    </row>
    <row r="45" spans="1:40">
      <c r="A45" t="s">
        <v>1086</v>
      </c>
      <c r="B45" s="86" t="s">
        <v>1087</v>
      </c>
      <c r="C45" t="str">
        <f>+CONCATENATE(A$44,B45)</f>
        <v>Balance of NSW2+0</v>
      </c>
      <c r="D45" s="46">
        <f>IF(+DropINTable!AB39=0,DropINTable!AC39,DropINTable!AB39)</f>
        <v>611.25755423313285</v>
      </c>
      <c r="E45" s="46">
        <f>IF(+DropINTable!AC39=0,DropINTable!AD39,DropINTable!AC39)</f>
        <v>611.25755423313285</v>
      </c>
      <c r="F45" s="46">
        <f>IF(+DropINTable!AD39=0,DropINTable!AE39,DropINTable!AD39)</f>
        <v>625.99100224273559</v>
      </c>
      <c r="G45" s="46">
        <f>IF(+DropINTable!AE39=0,DropINTable!AF39,DropINTable!AE39)</f>
        <v>650.84659305009052</v>
      </c>
      <c r="H45" s="46">
        <f>IF(+DropINTable!AF39=0,DropINTable!AG39,DropINTable!AF39)</f>
        <v>691.53543158344598</v>
      </c>
      <c r="I45" s="46">
        <f>IF(+DropINTable!AG39=0,DropINTable!AH39,DropINTable!AG39)</f>
        <v>754.47895799373975</v>
      </c>
      <c r="J45" s="46">
        <f>IF(+DropINTable!AH39=0,DropINTable!AI39,DropINTable!AH39)</f>
        <v>841.75172709788785</v>
      </c>
      <c r="K45" s="46">
        <f>IF(+DropINTable!AI39=0,DropINTable!AJ39,DropINTable!AI39)</f>
        <v>915.73521237650561</v>
      </c>
      <c r="L45" s="46">
        <f>IF(+DropINTable!AJ39=0,DropINTable!AK39,DropINTable!AJ39)</f>
        <v>998.06144750630995</v>
      </c>
      <c r="M45" s="46">
        <f>IF(+DropINTable!AK39=0,DropINTable!AL39,DropINTable!AK39)</f>
        <v>1046.4464886146143</v>
      </c>
      <c r="N45" s="46">
        <f>IF(+DropINTable!AL39=0,DropINTable!AM39,DropINTable!AL39)</f>
        <v>1112.467716021119</v>
      </c>
      <c r="O45" s="46">
        <f>IF(+DropINTable!AM39=0,DropINTable!AN39,DropINTable!AM39)</f>
        <v>1228.9880960905477</v>
      </c>
      <c r="P45" s="46">
        <f>IF(+DropINTable!AN39=0,DropINTable!AO39,DropINTable!AN39)</f>
        <v>1401.3023204000992</v>
      </c>
      <c r="Q45" s="46">
        <f>IF(+DropINTable!AO39=0,DropINTable!AP39,DropINTable!AO39)</f>
        <v>1416.1301396992046</v>
      </c>
      <c r="R45" s="46"/>
      <c r="S45" s="113"/>
      <c r="T45" s="113"/>
      <c r="U45" s="113"/>
      <c r="V45" s="113"/>
      <c r="W45" s="113"/>
      <c r="X45" s="113"/>
      <c r="Y45" s="113"/>
      <c r="Z45" s="113"/>
      <c r="AA45" s="113"/>
      <c r="AB45" s="113"/>
      <c r="AC45" s="113"/>
      <c r="AD45" s="113"/>
      <c r="AE45" s="113"/>
      <c r="AF45" s="113"/>
      <c r="AG45" s="113"/>
      <c r="AH45" s="113"/>
      <c r="AI45" s="113"/>
      <c r="AJ45" s="113"/>
      <c r="AK45" s="113"/>
      <c r="AL45" s="113"/>
      <c r="AM45" s="113"/>
      <c r="AN45" s="113"/>
    </row>
    <row r="46" spans="1:40">
      <c r="A46" t="s">
        <v>1088</v>
      </c>
      <c r="B46" s="86" t="s">
        <v>1089</v>
      </c>
      <c r="C46" t="str">
        <f t="shared" ref="C46:C56" si="11">+CONCATENATE(A$44,B46)</f>
        <v>Balance of NSW2+1</v>
      </c>
      <c r="D46" s="46">
        <f t="shared" ref="D46:D47" si="12">+E46</f>
        <v>715.49554104644744</v>
      </c>
      <c r="E46" s="46">
        <f>IF(+DropINTable!AC40=0,DropINTable!AD40,DropINTable!AC40)</f>
        <v>715.49554104644744</v>
      </c>
      <c r="F46" s="46">
        <f>IF(+DropINTable!AD40=0,DropINTable!AE40,DropINTable!AD40)</f>
        <v>715.49554104644744</v>
      </c>
      <c r="G46" s="46">
        <f>IF(+DropINTable!AE40=0,DropINTable!AF40,DropINTable!AE40)</f>
        <v>740.45736213255259</v>
      </c>
      <c r="H46" s="46">
        <f>IF(+DropINTable!AF40=0,DropINTable!AG40,DropINTable!AF40)</f>
        <v>781.32010165795566</v>
      </c>
      <c r="I46" s="46">
        <f>IF(+DropINTable!AG40=0,DropINTable!AH40,DropINTable!AG40)</f>
        <v>844.53264176647372</v>
      </c>
      <c r="J46" s="46">
        <f>IF(+DropINTable!AH40=0,DropINTable!AI40,DropINTable!AH40)</f>
        <v>932.17840439161796</v>
      </c>
      <c r="K46" s="46">
        <f>IF(+DropINTable!AI40=0,DropINTable!AJ40,DropINTable!AI40)</f>
        <v>1006.4780883219698</v>
      </c>
      <c r="L46" s="46">
        <f>IF(+DropINTable!AJ40=0,DropINTable!AK40,DropINTable!AJ40)</f>
        <v>1089.1561779631054</v>
      </c>
      <c r="M46" s="46">
        <f>IF(+DropINTable!AK40=0,DropINTable!AL40,DropINTable!AK40)</f>
        <v>1137.7480098188976</v>
      </c>
      <c r="N46" s="46">
        <f>IF(+DropINTable!AL40=0,DropINTable!AM40,DropINTable!AL40)</f>
        <v>1204.0514061032447</v>
      </c>
      <c r="O46" s="46">
        <f>IF(+DropINTable!AM40=0,DropINTable!AN40,DropINTable!AM40)</f>
        <v>1321.0697828651121</v>
      </c>
      <c r="P46" s="46">
        <f>IF(+DropINTable!AN40=0,DropINTable!AO40,DropINTable!AN40)</f>
        <v>1494.1204602525943</v>
      </c>
      <c r="Q46" s="46">
        <f>IF(+DropINTable!AO40=0,DropINTable!AP40,DropINTable!AO40)</f>
        <v>1509.0116525896069</v>
      </c>
      <c r="R46" s="46"/>
      <c r="S46" s="113"/>
      <c r="T46" s="113"/>
      <c r="U46" s="113"/>
      <c r="V46" s="113"/>
      <c r="W46" s="113"/>
      <c r="X46" s="113"/>
      <c r="Y46" s="113"/>
      <c r="Z46" s="113"/>
      <c r="AA46" s="113"/>
      <c r="AB46" s="113"/>
      <c r="AC46" s="113"/>
      <c r="AD46" s="113"/>
      <c r="AE46" s="113"/>
      <c r="AF46" s="113"/>
      <c r="AG46" s="113"/>
      <c r="AH46" s="113"/>
      <c r="AI46" s="113"/>
      <c r="AJ46" s="113"/>
      <c r="AK46" s="113"/>
      <c r="AL46" s="113"/>
      <c r="AM46" s="113"/>
      <c r="AN46" s="113"/>
    </row>
    <row r="47" spans="1:40">
      <c r="A47" t="s">
        <v>1090</v>
      </c>
      <c r="B47" s="86" t="s">
        <v>1091</v>
      </c>
      <c r="C47" t="str">
        <f t="shared" si="11"/>
        <v>Balance of NSW2+2</v>
      </c>
      <c r="D47" s="46">
        <f t="shared" si="12"/>
        <v>781.51280482800519</v>
      </c>
      <c r="E47" s="46">
        <f>IF(+DropINTable!AC41=0,DropINTable!AD41,DropINTable!AC41)</f>
        <v>781.51280482800519</v>
      </c>
      <c r="F47" s="46">
        <f>IF(+DropINTable!AD41=0,DropINTable!AE41,DropINTable!AD41)</f>
        <v>781.51280482800519</v>
      </c>
      <c r="G47" s="46">
        <f>IF(+DropINTable!AE41=0,DropINTable!AF41,DropINTable!AE41)</f>
        <v>806.31166416999952</v>
      </c>
      <c r="H47" s="46">
        <f>IF(+DropINTable!AF41=0,DropINTable!AG41,DropINTable!AF41)</f>
        <v>846.90763334471364</v>
      </c>
      <c r="I47" s="46">
        <f>IF(+DropINTable!AG41=0,DropINTable!AH41,DropINTable!AG41)</f>
        <v>909.70749470429269</v>
      </c>
      <c r="J47" s="46">
        <f>IF(+DropINTable!AH41=0,DropINTable!AI41,DropINTable!AH41)</f>
        <v>996.78106870908471</v>
      </c>
      <c r="K47" s="46">
        <f>IF(+DropINTable!AI41=0,DropINTable!AJ41,DropINTable!AI41)</f>
        <v>1070.5956932782931</v>
      </c>
      <c r="L47" s="46">
        <f>IF(+DropINTable!AJ41=0,DropINTable!AK41,DropINTable!AJ41)</f>
        <v>1152.7340242116104</v>
      </c>
      <c r="M47" s="46">
        <f>IF(+DropINTable!AK41=0,DropINTable!AL41,DropINTable!AK41)</f>
        <v>1201.0086282016368</v>
      </c>
      <c r="N47" s="46">
        <f>IF(+DropINTable!AL41=0,DropINTable!AM41,DropINTable!AL41)</f>
        <v>1266.8791668397739</v>
      </c>
      <c r="O47" s="46">
        <f>IF(+DropINTable!AM41=0,DropINTable!AN41,DropINTable!AM41)</f>
        <v>1383.1335977548374</v>
      </c>
      <c r="P47" s="46">
        <f>IF(+DropINTable!AN41=0,DropINTable!AO41,DropINTable!AN41)</f>
        <v>1555.0545286373151</v>
      </c>
      <c r="Q47" s="46">
        <f>IF(+DropINTable!AO41=0,DropINTable!AP41,DropINTable!AO41)</f>
        <v>1569.8485020517767</v>
      </c>
      <c r="R47" s="46"/>
      <c r="S47" s="113"/>
      <c r="T47" s="113"/>
      <c r="U47" s="113"/>
      <c r="V47" s="113"/>
      <c r="W47" s="113"/>
      <c r="X47" s="113"/>
      <c r="Y47" s="113"/>
      <c r="Z47" s="113"/>
      <c r="AA47" s="113"/>
      <c r="AB47" s="113"/>
      <c r="AC47" s="113"/>
      <c r="AD47" s="113"/>
      <c r="AE47" s="113"/>
      <c r="AF47" s="113"/>
      <c r="AG47" s="113"/>
      <c r="AH47" s="113"/>
      <c r="AI47" s="113"/>
      <c r="AJ47" s="113"/>
      <c r="AK47" s="113"/>
      <c r="AL47" s="113"/>
      <c r="AM47" s="113"/>
      <c r="AN47" s="113"/>
    </row>
    <row r="48" spans="1:40">
      <c r="A48" t="s">
        <v>1092</v>
      </c>
      <c r="B48" s="86" t="s">
        <v>1093</v>
      </c>
      <c r="C48" t="str">
        <f t="shared" ref="C48:C50" si="13">+CONCATENATE(A$44,B48)</f>
        <v>Balance of NSW2+3</v>
      </c>
      <c r="D48" s="46">
        <f t="shared" ref="D48" si="14">+F48</f>
        <v>873.59720433813175</v>
      </c>
      <c r="E48" s="46">
        <f>+F48</f>
        <v>873.59720433813175</v>
      </c>
      <c r="F48" s="46">
        <f>IF(+DropINTable!AD42=0,DropINTable!AE42,DropINTable!AD42)</f>
        <v>873.59720433813175</v>
      </c>
      <c r="G48" s="46">
        <f>IF(+DropINTable!AE42=0,DropINTable!AF42,DropINTable!AE42)</f>
        <v>873.59720433813175</v>
      </c>
      <c r="H48" s="46">
        <f>IF(+DropINTable!AF42=0,DropINTable!AG42,DropINTable!AF42)</f>
        <v>914.17842847182192</v>
      </c>
      <c r="I48" s="46">
        <f>IF(+DropINTable!AG42=0,DropINTable!AH42,DropINTable!AG42)</f>
        <v>976.95547842426288</v>
      </c>
      <c r="J48" s="46">
        <f>IF(+DropINTable!AH42=0,DropINTable!AI42,DropINTable!AH42)</f>
        <v>1063.997425494915</v>
      </c>
      <c r="K48" s="46">
        <f>IF(+DropINTable!AI42=0,DropINTable!AJ42,DropINTable!AI42)</f>
        <v>1137.7852360123654</v>
      </c>
      <c r="L48" s="46">
        <f>IF(+DropINTable!AJ42=0,DropINTable!AK42,DropINTable!AJ42)</f>
        <v>1219.8937302592276</v>
      </c>
      <c r="M48" s="46">
        <f>IF(+DropINTable!AK42=0,DropINTable!AL42,DropINTable!AK42)</f>
        <v>1268.1508031785079</v>
      </c>
      <c r="N48" s="46">
        <f>IF(+DropINTable!AL42=0,DropINTable!AM42,DropINTable!AL42)</f>
        <v>1333.9974158209127</v>
      </c>
      <c r="O48" s="46">
        <f>IF(+DropINTable!AM42=0,DropINTable!AN42,DropINTable!AM42)</f>
        <v>1450.2096184541399</v>
      </c>
      <c r="P48" s="46">
        <f>IF(+DropINTable!AN42=0,DropINTable!AO42,DropINTable!AN42)</f>
        <v>1622.0680986443906</v>
      </c>
      <c r="Q48" s="46">
        <f>IF(+DropINTable!AO42=0,DropINTable!AP42,DropINTable!AO42)</f>
        <v>1636.8567000979056</v>
      </c>
      <c r="R48" s="46"/>
      <c r="S48" s="113"/>
      <c r="T48" s="113"/>
      <c r="U48" s="113"/>
      <c r="V48" s="113"/>
      <c r="W48" s="113"/>
      <c r="X48" s="113"/>
      <c r="Y48" s="113"/>
      <c r="Z48" s="113"/>
      <c r="AA48" s="113"/>
      <c r="AB48" s="113"/>
      <c r="AC48" s="113"/>
      <c r="AD48" s="113"/>
      <c r="AE48" s="113"/>
      <c r="AF48" s="113"/>
      <c r="AG48" s="113"/>
      <c r="AH48" s="113"/>
      <c r="AI48" s="113"/>
      <c r="AJ48" s="113"/>
      <c r="AK48" s="113"/>
      <c r="AL48" s="113"/>
      <c r="AM48" s="113"/>
      <c r="AN48" s="113"/>
    </row>
    <row r="49" spans="1:40">
      <c r="B49" s="86" t="s">
        <v>1094</v>
      </c>
      <c r="C49" t="str">
        <f t="shared" si="13"/>
        <v>Balance of NSW2+4</v>
      </c>
      <c r="D49" s="46">
        <f>+D48+Per_child_accounting!$AD$33</f>
        <v>963.1017431418436</v>
      </c>
      <c r="E49" s="46">
        <f>+E48+Per_child_accounting!$AD$33</f>
        <v>963.1017431418436</v>
      </c>
      <c r="F49" s="46">
        <f>+F48+Per_child_accounting!AD$33</f>
        <v>963.1017431418436</v>
      </c>
      <c r="G49" s="46">
        <f>+G48+Per_child_accounting!AE$33</f>
        <v>963.20797342059382</v>
      </c>
      <c r="H49" s="46">
        <f>+H48+Per_child_accounting!AF$33</f>
        <v>1003.9630985463316</v>
      </c>
      <c r="I49" s="46">
        <f>+I48+Per_child_accounting!AG$33</f>
        <v>1067.0091621969968</v>
      </c>
      <c r="J49" s="46">
        <f>+J48+Per_child_accounting!AH$33</f>
        <v>1154.4241027886451</v>
      </c>
      <c r="K49" s="46">
        <f>+K48+Per_child_accounting!AI$33</f>
        <v>1228.5281119578297</v>
      </c>
      <c r="L49" s="46">
        <f>+L48+Per_child_accounting!AJ$33</f>
        <v>1310.9884607160229</v>
      </c>
      <c r="M49" s="46">
        <f>+M48+Per_child_accounting!AK$33</f>
        <v>1359.4523243827912</v>
      </c>
      <c r="N49" s="46">
        <f>+N48+Per_child_accounting!AL$33</f>
        <v>1425.5811059030384</v>
      </c>
      <c r="O49" s="46">
        <f>+O48+Per_child_accounting!AM$33</f>
        <v>1542.2913052287042</v>
      </c>
      <c r="P49" s="46">
        <f>+P48+Per_child_accounting!AN$33</f>
        <v>1714.8862384968857</v>
      </c>
      <c r="Q49" s="46">
        <f>+Q48+Per_child_accounting!AO$33</f>
        <v>1729.7382129883079</v>
      </c>
      <c r="R49" s="46"/>
      <c r="S49" s="113"/>
      <c r="T49" s="113"/>
      <c r="U49" s="113"/>
      <c r="V49" s="113"/>
      <c r="W49" s="113"/>
      <c r="X49" s="113"/>
      <c r="Y49" s="113"/>
      <c r="Z49" s="113"/>
      <c r="AA49" s="113"/>
      <c r="AB49" s="113"/>
      <c r="AC49" s="113"/>
      <c r="AD49" s="113"/>
      <c r="AE49" s="113"/>
      <c r="AF49" s="113"/>
      <c r="AG49" s="113"/>
      <c r="AH49" s="113"/>
      <c r="AI49" s="113"/>
      <c r="AJ49" s="113"/>
      <c r="AK49" s="113"/>
      <c r="AL49" s="113"/>
      <c r="AM49" s="113"/>
      <c r="AN49" s="113"/>
    </row>
    <row r="50" spans="1:40">
      <c r="B50" s="86" t="s">
        <v>1095</v>
      </c>
      <c r="C50" t="str">
        <f t="shared" si="13"/>
        <v>Balance of NSW2+5</v>
      </c>
      <c r="D50" s="46">
        <f>+D49+Per_child_accounting!$AD$33</f>
        <v>1052.6062819455556</v>
      </c>
      <c r="E50" s="46">
        <f>+E49+Per_child_accounting!$AD$33</f>
        <v>1052.6062819455556</v>
      </c>
      <c r="F50" s="46">
        <f>+F49+Per_child_accounting!$AD$33</f>
        <v>1052.6062819455556</v>
      </c>
      <c r="G50" s="46">
        <f>+G49+Per_child_accounting!AE$33</f>
        <v>1052.818742503056</v>
      </c>
      <c r="H50" s="46">
        <f>+H49+Per_child_accounting!AF$33</f>
        <v>1093.7477686208413</v>
      </c>
      <c r="I50" s="46">
        <f>+I49+Per_child_accounting!AG$33</f>
        <v>1157.0628459697309</v>
      </c>
      <c r="J50" s="46">
        <f>+J49+Per_child_accounting!AH$33</f>
        <v>1244.8507800823752</v>
      </c>
      <c r="K50" s="46">
        <f>+K49+Per_child_accounting!AI$33</f>
        <v>1319.2709879032939</v>
      </c>
      <c r="L50" s="46">
        <f>+L49+Per_child_accounting!AJ$33</f>
        <v>1402.0831911728183</v>
      </c>
      <c r="M50" s="46">
        <f>+M49+Per_child_accounting!AK$33</f>
        <v>1450.7538455870745</v>
      </c>
      <c r="N50" s="46">
        <f>+N49+Per_child_accounting!AL$33</f>
        <v>1517.1647959851641</v>
      </c>
      <c r="O50" s="46">
        <f>+O49+Per_child_accounting!AM$33</f>
        <v>1634.3729920032686</v>
      </c>
      <c r="P50" s="46">
        <f>+P49+Per_child_accounting!AN$33</f>
        <v>1807.7043783493807</v>
      </c>
      <c r="Q50" s="46">
        <f>+Q49+Per_child_accounting!AO$33</f>
        <v>1822.6197258787101</v>
      </c>
      <c r="R50" s="46"/>
      <c r="S50" s="113"/>
      <c r="T50" s="113"/>
      <c r="U50" s="113"/>
      <c r="V50" s="113"/>
      <c r="W50" s="113"/>
      <c r="X50" s="113"/>
      <c r="Y50" s="113"/>
      <c r="Z50" s="113"/>
      <c r="AA50" s="113"/>
      <c r="AB50" s="113"/>
      <c r="AC50" s="113"/>
      <c r="AD50" s="113"/>
      <c r="AE50" s="113"/>
      <c r="AF50" s="113"/>
      <c r="AG50" s="113"/>
      <c r="AH50" s="113"/>
      <c r="AI50" s="113"/>
      <c r="AJ50" s="113"/>
      <c r="AK50" s="113"/>
      <c r="AL50" s="113"/>
      <c r="AM50" s="113"/>
      <c r="AN50" s="113"/>
    </row>
    <row r="51" spans="1:40">
      <c r="B51" s="86" t="s">
        <v>1096</v>
      </c>
      <c r="C51" t="str">
        <f t="shared" ref="C51" si="15">+CONCATENATE(A$44,B51)</f>
        <v>Balance of NSW2+6</v>
      </c>
      <c r="D51" s="46">
        <f>+D50+Per_child_accounting!$AD$33</f>
        <v>1142.1108207492675</v>
      </c>
      <c r="E51" s="46">
        <f>+E50+Per_child_accounting!$AD$33</f>
        <v>1142.1108207492675</v>
      </c>
      <c r="F51" s="46">
        <f>+F50+Per_child_accounting!$AD$33</f>
        <v>1142.1108207492675</v>
      </c>
      <c r="G51" s="46">
        <f>+G50+Per_child_accounting!AE$33</f>
        <v>1142.429511585518</v>
      </c>
      <c r="H51" s="46">
        <f>+H50+Per_child_accounting!AF$33</f>
        <v>1183.5324386953509</v>
      </c>
      <c r="I51" s="46">
        <f>+I50+Per_child_accounting!AG$33</f>
        <v>1247.116529742465</v>
      </c>
      <c r="J51" s="46">
        <f>+J50+Per_child_accounting!AH$33</f>
        <v>1335.2774573761053</v>
      </c>
      <c r="K51" s="46">
        <f>+K50+Per_child_accounting!AI$33</f>
        <v>1410.0138638487581</v>
      </c>
      <c r="L51" s="46">
        <f>+L50+Per_child_accounting!AJ$33</f>
        <v>1493.1779216296136</v>
      </c>
      <c r="M51" s="46">
        <f>+M50+Per_child_accounting!AK$33</f>
        <v>1542.0553667913578</v>
      </c>
      <c r="N51" s="46">
        <f>+N50+Per_child_accounting!AL$33</f>
        <v>1608.7484860672898</v>
      </c>
      <c r="O51" s="46">
        <f>+O50+Per_child_accounting!AM$33</f>
        <v>1726.4546787778329</v>
      </c>
      <c r="P51" s="46">
        <f>+P50+Per_child_accounting!AN$33</f>
        <v>1900.5225182018758</v>
      </c>
      <c r="Q51" s="46">
        <f>+Q50+Per_child_accounting!AO$33</f>
        <v>1915.5012387691124</v>
      </c>
      <c r="R51" s="46"/>
      <c r="S51" s="113"/>
      <c r="T51" s="113"/>
      <c r="U51" s="113"/>
      <c r="V51" s="113"/>
      <c r="W51" s="113"/>
      <c r="X51" s="113"/>
      <c r="Y51" s="113"/>
      <c r="Z51" s="113"/>
      <c r="AA51" s="113"/>
      <c r="AB51" s="113"/>
      <c r="AC51" s="113"/>
      <c r="AD51" s="113"/>
      <c r="AE51" s="113"/>
      <c r="AF51" s="113"/>
      <c r="AG51" s="113"/>
      <c r="AH51" s="113"/>
      <c r="AI51" s="113"/>
      <c r="AJ51" s="113"/>
      <c r="AK51" s="113"/>
      <c r="AL51" s="113"/>
      <c r="AM51" s="113"/>
      <c r="AN51" s="113"/>
    </row>
    <row r="52" spans="1:40">
      <c r="B52" s="86"/>
      <c r="D52" s="46"/>
      <c r="E52" s="46"/>
      <c r="F52" s="46"/>
      <c r="G52" s="46"/>
      <c r="H52" s="46"/>
      <c r="I52" s="46"/>
      <c r="J52" s="46"/>
      <c r="K52" s="46"/>
      <c r="L52" s="46"/>
      <c r="M52" s="46"/>
      <c r="N52" s="46"/>
      <c r="O52" s="46"/>
      <c r="P52" s="46"/>
      <c r="Q52" s="46"/>
      <c r="R52" s="46"/>
      <c r="S52" s="113"/>
      <c r="T52" s="113"/>
      <c r="U52" s="113"/>
      <c r="V52" s="113"/>
      <c r="W52" s="113"/>
      <c r="X52" s="113"/>
      <c r="Y52" s="113"/>
      <c r="Z52" s="113"/>
      <c r="AA52" s="113"/>
      <c r="AB52" s="113"/>
      <c r="AC52" s="113"/>
      <c r="AD52" s="113"/>
      <c r="AE52" s="113"/>
      <c r="AF52" s="113"/>
      <c r="AG52" s="113"/>
      <c r="AH52" s="113"/>
      <c r="AI52" s="113"/>
      <c r="AJ52" s="113"/>
      <c r="AK52" s="113"/>
      <c r="AL52" s="113"/>
      <c r="AM52" s="113"/>
      <c r="AN52" s="113"/>
    </row>
    <row r="53" spans="1:40">
      <c r="A53" t="s">
        <v>1097</v>
      </c>
      <c r="B53" s="86" t="s">
        <v>1098</v>
      </c>
      <c r="C53" t="str">
        <f t="shared" si="11"/>
        <v>Balance of NSW1+0</v>
      </c>
      <c r="D53" s="46">
        <f>IF(+DropINTable!AB44=0,DropINTable!AC44,DropINTable!AB44)</f>
        <v>323.67987430335984</v>
      </c>
      <c r="E53" s="46">
        <f>IF(+DropINTable!AC44=0,DropINTable!AD44,DropINTable!AC44)</f>
        <v>339.08355628369918</v>
      </c>
      <c r="F53" s="46">
        <f>IF(+DropINTable!AD44=0,DropINTable!AE44,DropINTable!AD44)</f>
        <v>353.84241842658628</v>
      </c>
      <c r="G53" s="46">
        <f>IF(+DropINTable!AE44=0,DropINTable!AF44,DropINTable!AE44)</f>
        <v>378.74088327078181</v>
      </c>
      <c r="H53" s="46">
        <f>IF(+DropINTable!AF44=0,DropINTable!AG44,DropINTable!AF44)</f>
        <v>419.499906065841</v>
      </c>
      <c r="I53" s="46">
        <f>IF(+DropINTable!AG44=0,DropINTable!AH44,DropINTable!AG44)</f>
        <v>482.55200419073566</v>
      </c>
      <c r="J53" s="46">
        <f>IF(+DropINTable!AH44=0,DropINTable!AI44,DropINTable!AH44)</f>
        <v>569.97531144347749</v>
      </c>
      <c r="K53" s="46">
        <f>IF(+DropINTable!AI44=0,DropINTable!AJ44,DropINTable!AI44)</f>
        <v>644.08641288911463</v>
      </c>
      <c r="L53" s="46">
        <f>IF(+DropINTable!AJ44=0,DropINTable!AK44,DropINTable!AJ44)</f>
        <v>726.55465453073009</v>
      </c>
      <c r="M53" s="46">
        <f>IF(+DropINTable!AK44=0,DropINTable!AL44,DropINTable!AK44)</f>
        <v>775.02315629623718</v>
      </c>
      <c r="N53" s="46">
        <f>IF(+DropINTable!AL44=0,DropINTable!AM44,DropINTable!AL44)</f>
        <v>841.15826380680653</v>
      </c>
      <c r="O53" s="46">
        <f>IF(+DropINTable!AM44=0,DropINTable!AN44,DropINTable!AM44)</f>
        <v>957.87963117263189</v>
      </c>
      <c r="P53" s="46">
        <f>IF(+DropINTable!AN44=0,DropINTable!AO44,DropINTable!AN44)</f>
        <v>1130.491086137949</v>
      </c>
      <c r="Q53" s="46">
        <f>IF(+DropINTable!AO44=0,DropINTable!AP44,DropINTable!AO44)</f>
        <v>1145.3444812180985</v>
      </c>
      <c r="R53" s="46"/>
      <c r="S53" s="113"/>
      <c r="T53" s="113"/>
      <c r="U53" s="113"/>
      <c r="V53" s="113"/>
      <c r="W53" s="113"/>
      <c r="X53" s="113"/>
      <c r="Y53" s="113"/>
      <c r="Z53" s="113"/>
      <c r="AA53" s="113"/>
      <c r="AB53" s="113"/>
      <c r="AC53" s="113"/>
      <c r="AD53" s="113"/>
      <c r="AE53" s="113"/>
      <c r="AF53" s="113"/>
      <c r="AG53" s="113"/>
      <c r="AH53" s="113"/>
      <c r="AI53" s="113"/>
      <c r="AJ53" s="113"/>
      <c r="AK53" s="113"/>
      <c r="AL53" s="113"/>
      <c r="AM53" s="113"/>
      <c r="AN53" s="113"/>
    </row>
    <row r="54" spans="1:40">
      <c r="A54" t="s">
        <v>1099</v>
      </c>
      <c r="B54" s="86" t="s">
        <v>1100</v>
      </c>
      <c r="C54" t="str">
        <f t="shared" si="11"/>
        <v>Balance of NSW1+1</v>
      </c>
      <c r="D54" s="46">
        <f>IF(+DropINTable!AB45=0,DropINTable!AC45,DropINTable!AB45)</f>
        <v>436.2289358462636</v>
      </c>
      <c r="E54" s="46">
        <f>IF(+DropINTable!AC45=0,DropINTable!AD45,DropINTable!AC45)</f>
        <v>436.2289358462636</v>
      </c>
      <c r="F54" s="46">
        <f>IF(+DropINTable!AD45=0,DropINTable!AE45,DropINTable!AD45)</f>
        <v>450.88978521382421</v>
      </c>
      <c r="G54" s="46">
        <f>IF(+DropINTable!AE45=0,DropINTable!AF45,DropINTable!AE45)</f>
        <v>475.62290179429039</v>
      </c>
      <c r="H54" s="46">
        <f>IF(+DropINTable!AF45=0,DropINTable!AG45,DropINTable!AF45)</f>
        <v>516.11124964747023</v>
      </c>
      <c r="I54" s="46">
        <f>IF(+DropINTable!AG45=0,DropINTable!AH45,DropINTable!AG45)</f>
        <v>578.74462427185028</v>
      </c>
      <c r="J54" s="46">
        <f>IF(+DropINTable!AH45=0,DropINTable!AI45,DropINTable!AH45)</f>
        <v>665.58735918937532</v>
      </c>
      <c r="K54" s="46">
        <f>IF(+DropINTable!AI45=0,DropINTable!AJ45,DropINTable!AI45)</f>
        <v>739.20629501538883</v>
      </c>
      <c r="L54" s="46">
        <f>IF(+DropINTable!AJ45=0,DropINTable!AK45,DropINTable!AJ45)</f>
        <v>821.12687225446234</v>
      </c>
      <c r="M54" s="46">
        <f>IF(+DropINTable!AK45=0,DropINTable!AL45,DropINTable!AK45)</f>
        <v>869.27349779013582</v>
      </c>
      <c r="N54" s="46">
        <f>IF(+DropINTable!AL45=0,DropINTable!AM45,DropINTable!AL45)</f>
        <v>934.96940977364511</v>
      </c>
      <c r="O54" s="46">
        <f>IF(+DropINTable!AM45=0,DropINTable!AN45,DropINTable!AM45)</f>
        <v>1050.9156423534148</v>
      </c>
      <c r="P54" s="46">
        <f>IF(+DropINTable!AN45=0,DropINTable!AO45,DropINTable!AN45)</f>
        <v>1222.3807968466433</v>
      </c>
      <c r="Q54" s="46">
        <f>IF(+DropINTable!AO45=0,DropINTable!AP45,DropINTable!AO45)</f>
        <v>1237.1355524988933</v>
      </c>
      <c r="R54" s="46"/>
      <c r="S54" s="113"/>
      <c r="T54" s="113"/>
      <c r="U54" s="113"/>
      <c r="V54" s="113"/>
      <c r="W54" s="113"/>
      <c r="X54" s="113"/>
      <c r="Y54" s="113"/>
      <c r="Z54" s="113"/>
      <c r="AA54" s="113"/>
      <c r="AB54" s="113"/>
      <c r="AC54" s="113"/>
      <c r="AD54" s="113"/>
      <c r="AE54" s="113"/>
      <c r="AF54" s="113"/>
      <c r="AG54" s="113"/>
      <c r="AH54" s="113"/>
      <c r="AI54" s="113"/>
      <c r="AJ54" s="113"/>
      <c r="AK54" s="113"/>
      <c r="AL54" s="113"/>
      <c r="AM54" s="113"/>
      <c r="AN54" s="113"/>
    </row>
    <row r="55" spans="1:40">
      <c r="A55" t="s">
        <v>1101</v>
      </c>
      <c r="B55" s="86" t="s">
        <v>1102</v>
      </c>
      <c r="C55" t="str">
        <f t="shared" si="11"/>
        <v>Balance of NSW1+2</v>
      </c>
      <c r="D55" s="46">
        <f>IF(+DropINTable!AB46=0,DropINTable!AC46,DropINTable!AB46)</f>
        <v>546.43765815918391</v>
      </c>
      <c r="E55" s="46">
        <f>IF(+DropINTable!AC46=0,DropINTable!AD46,DropINTable!AC46)</f>
        <v>546.43765815918391</v>
      </c>
      <c r="F55" s="46">
        <f>IF(+DropINTable!AD46=0,DropINTable!AE46,DropINTable!AD46)</f>
        <v>561.07753290293022</v>
      </c>
      <c r="G55" s="46">
        <f>IF(+DropINTable!AE46=0,DropINTable!AF46,DropINTable!AE46)</f>
        <v>585.7752655223934</v>
      </c>
      <c r="H55" s="46">
        <f>IF(+DropINTable!AF46=0,DropINTable!AG46,DropINTable!AF46)</f>
        <v>626.20568797940871</v>
      </c>
      <c r="I55" s="46">
        <f>IF(+DropINTable!AG46=0,DropINTable!AH46,DropINTable!AG46)</f>
        <v>688.74945809278177</v>
      </c>
      <c r="J55" s="46">
        <f>IF(+DropINTable!AH46=0,DropINTable!AI46,DropINTable!AH46)</f>
        <v>775.46795478682759</v>
      </c>
      <c r="K55" s="46">
        <f>IF(+DropINTable!AI46=0,DropINTable!AJ46,DropINTable!AI46)</f>
        <v>848.98157394048815</v>
      </c>
      <c r="L55" s="46">
        <f>IF(+DropINTable!AJ46=0,DropINTable!AK46,DropINTable!AJ46)</f>
        <v>930.78495318882358</v>
      </c>
      <c r="M55" s="46">
        <f>IF(+DropINTable!AK46=0,DropINTable!AL46,DropINTable!AK46)</f>
        <v>978.86269707271333</v>
      </c>
      <c r="N55" s="46">
        <f>IF(+DropINTable!AL46=0,DropINTable!AM46,DropINTable!AL46)</f>
        <v>1044.4646264889204</v>
      </c>
      <c r="O55" s="46">
        <f>IF(+DropINTable!AM46=0,DropINTable!AN46,DropINTable!AM46)</f>
        <v>1160.2449769856478</v>
      </c>
      <c r="P55" s="46">
        <f>IF(+DropINTable!AN46=0,DropINTable!AO46,DropINTable!AN46)</f>
        <v>1331.4648347468533</v>
      </c>
      <c r="Q55" s="46">
        <f>IF(+DropINTable!AO46=0,DropINTable!AP46,DropINTable!AO46)</f>
        <v>1346.1984782242121</v>
      </c>
      <c r="R55" s="46"/>
      <c r="S55" s="113"/>
      <c r="T55" s="113"/>
      <c r="U55" s="113"/>
      <c r="V55" s="113"/>
      <c r="W55" s="113"/>
      <c r="X55" s="113"/>
      <c r="Y55" s="113"/>
      <c r="Z55" s="113"/>
      <c r="AA55" s="113"/>
      <c r="AB55" s="113"/>
      <c r="AC55" s="113"/>
      <c r="AD55" s="113"/>
      <c r="AE55" s="113"/>
      <c r="AF55" s="113"/>
      <c r="AG55" s="113"/>
      <c r="AH55" s="113"/>
      <c r="AI55" s="113"/>
      <c r="AJ55" s="113"/>
      <c r="AK55" s="113"/>
      <c r="AL55" s="113"/>
      <c r="AM55" s="113"/>
      <c r="AN55" s="113"/>
    </row>
    <row r="56" spans="1:40">
      <c r="A56" t="s">
        <v>1103</v>
      </c>
      <c r="B56" s="86" t="s">
        <v>1104</v>
      </c>
      <c r="C56" t="str">
        <f t="shared" si="11"/>
        <v>Balance of NSW1+3</v>
      </c>
      <c r="D56" s="46">
        <f t="shared" ref="D56" si="16">+E56</f>
        <v>671.26528059203622</v>
      </c>
      <c r="E56" s="46">
        <f>IF(+DropINTable!AC47=0,DropINTable!AD47,DropINTable!AC47)</f>
        <v>671.26528059203622</v>
      </c>
      <c r="F56" s="46">
        <f>IF(+DropINTable!AD47=0,DropINTable!AE47,DropINTable!AD47)</f>
        <v>671.26528059203622</v>
      </c>
      <c r="G56" s="46">
        <f>IF(+DropINTable!AE47=0,DropINTable!AF47,DropINTable!AE47)</f>
        <v>695.92762925049647</v>
      </c>
      <c r="H56" s="46">
        <f>IF(+DropINTable!AF47=0,DropINTable!AG47,DropINTable!AF47)</f>
        <v>736.30012631134719</v>
      </c>
      <c r="I56" s="46">
        <f>IF(+DropINTable!AG47=0,DropINTable!AH47,DropINTable!AG47)</f>
        <v>798.75429191371325</v>
      </c>
      <c r="J56" s="46">
        <f>IF(+DropINTable!AH47=0,DropINTable!AI47,DropINTable!AH47)</f>
        <v>885.34855038427986</v>
      </c>
      <c r="K56" s="46">
        <f>IF(+DropINTable!AI47=0,DropINTable!AJ47,DropINTable!AI47)</f>
        <v>958.75685286558746</v>
      </c>
      <c r="L56" s="46">
        <f>IF(+DropINTable!AJ47=0,DropINTable!AK47,DropINTable!AJ47)</f>
        <v>1040.4430341231848</v>
      </c>
      <c r="M56" s="46">
        <f>IF(+DropINTable!AK47=0,DropINTable!AL47,DropINTable!AK47)</f>
        <v>1088.451896355291</v>
      </c>
      <c r="N56" s="46">
        <f>IF(+DropINTable!AL47=0,DropINTable!AM47,DropINTable!AL47)</f>
        <v>1153.9598432041957</v>
      </c>
      <c r="O56" s="46">
        <f>IF(+DropINTable!AM47=0,DropINTable!AN47,DropINTable!AM47)</f>
        <v>1269.5743116178808</v>
      </c>
      <c r="P56" s="46">
        <f>IF(+DropINTable!AN47=0,DropINTable!AO47,DropINTable!AN47)</f>
        <v>1440.5488726470633</v>
      </c>
      <c r="Q56" s="46">
        <f>IF(+DropINTable!AO47=0,DropINTable!AP47,DropINTable!AO47)</f>
        <v>1455.2614039495309</v>
      </c>
      <c r="R56" s="46"/>
      <c r="S56" s="113"/>
      <c r="T56" s="113"/>
      <c r="U56" s="113"/>
      <c r="V56" s="113"/>
      <c r="W56" s="113"/>
      <c r="X56" s="113"/>
      <c r="Y56" s="113"/>
      <c r="Z56" s="113"/>
      <c r="AA56" s="113"/>
      <c r="AB56" s="113"/>
      <c r="AC56" s="113"/>
      <c r="AD56" s="113"/>
      <c r="AE56" s="113"/>
      <c r="AF56" s="113"/>
      <c r="AG56" s="113"/>
      <c r="AH56" s="113"/>
      <c r="AI56" s="113"/>
      <c r="AJ56" s="113"/>
      <c r="AK56" s="113"/>
      <c r="AL56" s="113"/>
      <c r="AM56" s="113"/>
      <c r="AN56" s="113"/>
    </row>
    <row r="57" spans="1:40">
      <c r="B57" s="86" t="s">
        <v>1105</v>
      </c>
      <c r="C57" t="str">
        <f t="shared" ref="C57:C59" si="17">+CONCATENATE(A$44,B57)</f>
        <v>Balance of NSW1+4</v>
      </c>
      <c r="D57" s="46">
        <f>+D56+Per_child_accounting!$AC$36</f>
        <v>768.41066015460069</v>
      </c>
      <c r="E57" s="46">
        <f>+E56+Per_child_accounting!$AC$36</f>
        <v>768.41066015460069</v>
      </c>
      <c r="F57" s="46">
        <f>+F56+Per_child_accounting!$AD$36</f>
        <v>768.31264737927415</v>
      </c>
      <c r="G57" s="46">
        <f>+G56+Per_child_accounting!$AE$36</f>
        <v>792.80964777400504</v>
      </c>
      <c r="H57" s="46">
        <f>+H56+Per_child_accounting!$AF$36</f>
        <v>832.91146989297636</v>
      </c>
      <c r="I57" s="46">
        <f>+I56+Per_child_accounting!$AG$36</f>
        <v>894.94691199482781</v>
      </c>
      <c r="J57" s="46">
        <f>+J56+Per_child_accounting!$AH$36</f>
        <v>980.96059813017769</v>
      </c>
      <c r="K57" s="46">
        <f>+K56+Per_child_accounting!$AI$36</f>
        <v>1053.8767349918617</v>
      </c>
      <c r="L57" s="46">
        <f>+L56+Per_child_accounting!$AJ$36</f>
        <v>1135.0152518469172</v>
      </c>
      <c r="M57" s="46">
        <f>+M56+Per_child_accounting!$AK$36</f>
        <v>1182.7022378491897</v>
      </c>
      <c r="N57" s="46">
        <f>+N56+Per_child_accounting!$AL$36</f>
        <v>1247.7709891710342</v>
      </c>
      <c r="O57" s="46">
        <f>+O56+Per_child_accounting!$AM$36</f>
        <v>1362.6103227986637</v>
      </c>
      <c r="P57" s="46">
        <f>+P56+Per_child_accounting!$AN$36</f>
        <v>1532.4385833557576</v>
      </c>
      <c r="Q57" s="46">
        <f>+Q56+Per_child_accounting!$AO$36</f>
        <v>1547.0524752303256</v>
      </c>
      <c r="R57" s="46"/>
      <c r="S57" s="113"/>
      <c r="T57" s="113"/>
      <c r="U57" s="113"/>
      <c r="V57" s="113"/>
      <c r="W57" s="113"/>
      <c r="X57" s="113"/>
      <c r="Y57" s="113"/>
      <c r="Z57" s="113"/>
      <c r="AA57" s="113"/>
      <c r="AB57" s="113"/>
      <c r="AC57" s="113"/>
      <c r="AD57" s="113"/>
      <c r="AE57" s="113"/>
      <c r="AF57" s="113"/>
      <c r="AG57" s="113"/>
      <c r="AH57" s="113"/>
      <c r="AI57" s="113"/>
      <c r="AJ57" s="113"/>
      <c r="AK57" s="113"/>
      <c r="AL57" s="113"/>
      <c r="AM57" s="113"/>
      <c r="AN57" s="113"/>
    </row>
    <row r="58" spans="1:40">
      <c r="B58" s="86" t="s">
        <v>1106</v>
      </c>
      <c r="C58" t="str">
        <f t="shared" si="17"/>
        <v>Balance of NSW1+5</v>
      </c>
      <c r="D58" s="46">
        <f>+D57+Per_child_accounting!$AC$36</f>
        <v>865.55603971716505</v>
      </c>
      <c r="E58" s="46">
        <f>+E57+Per_child_accounting!$AC$36</f>
        <v>865.55603971716505</v>
      </c>
      <c r="F58" s="46">
        <f>+F57+Per_child_accounting!$AD$36</f>
        <v>865.36001416651209</v>
      </c>
      <c r="G58" s="46">
        <f>+G57+Per_child_accounting!$AE$36</f>
        <v>889.69166629751362</v>
      </c>
      <c r="H58" s="46">
        <f>+H57+Per_child_accounting!$AF$36</f>
        <v>929.52281347460553</v>
      </c>
      <c r="I58" s="46">
        <f>+I57+Per_child_accounting!$AG$36</f>
        <v>991.1395320759425</v>
      </c>
      <c r="J58" s="46">
        <f>+J57+Per_child_accounting!$AH$36</f>
        <v>1076.5726458760755</v>
      </c>
      <c r="K58" s="46">
        <f>+K57+Per_child_accounting!$AI$36</f>
        <v>1148.9966171181359</v>
      </c>
      <c r="L58" s="46">
        <f>+L57+Per_child_accounting!$AJ$36</f>
        <v>1229.5874695706493</v>
      </c>
      <c r="M58" s="46">
        <f>+M57+Per_child_accounting!$AK$36</f>
        <v>1276.9525793430885</v>
      </c>
      <c r="N58" s="46">
        <f>+N57+Per_child_accounting!$AL$36</f>
        <v>1341.5821351378727</v>
      </c>
      <c r="O58" s="46">
        <f>+O57+Per_child_accounting!$AM$36</f>
        <v>1455.6463339794466</v>
      </c>
      <c r="P58" s="46">
        <f>+P57+Per_child_accounting!$AN$36</f>
        <v>1624.3282940644519</v>
      </c>
      <c r="Q58" s="46">
        <f>+Q57+Per_child_accounting!$AO$36</f>
        <v>1638.8435465111204</v>
      </c>
      <c r="R58" s="46"/>
      <c r="S58" s="113"/>
      <c r="T58" s="113"/>
      <c r="U58" s="113"/>
      <c r="V58" s="113"/>
      <c r="W58" s="113"/>
      <c r="X58" s="113"/>
      <c r="Y58" s="113"/>
      <c r="Z58" s="113"/>
      <c r="AA58" s="113"/>
      <c r="AB58" s="113"/>
      <c r="AC58" s="113"/>
      <c r="AD58" s="113"/>
      <c r="AE58" s="113"/>
      <c r="AF58" s="113"/>
      <c r="AG58" s="113"/>
      <c r="AH58" s="113"/>
      <c r="AI58" s="113"/>
      <c r="AJ58" s="113"/>
      <c r="AK58" s="113"/>
      <c r="AL58" s="113"/>
      <c r="AM58" s="113"/>
      <c r="AN58" s="113"/>
    </row>
    <row r="59" spans="1:40">
      <c r="B59" s="86" t="s">
        <v>1107</v>
      </c>
      <c r="C59" t="str">
        <f t="shared" si="17"/>
        <v>Balance of NSW1+6</v>
      </c>
      <c r="D59" s="46">
        <f>+D58+Per_child_accounting!$AC$36</f>
        <v>962.70141927972941</v>
      </c>
      <c r="E59" s="46">
        <f>+E58+Per_child_accounting!$AC$36</f>
        <v>962.70141927972941</v>
      </c>
      <c r="F59" s="46">
        <f>+F58+Per_child_accounting!$AD$36</f>
        <v>962.40738095375002</v>
      </c>
      <c r="G59" s="46">
        <f>+G58+Per_child_accounting!$AE$36</f>
        <v>986.5736848210222</v>
      </c>
      <c r="H59" s="46">
        <f>+H58+Per_child_accounting!$AF$36</f>
        <v>1026.1341570562347</v>
      </c>
      <c r="I59" s="46">
        <f>+I58+Per_child_accounting!$AG$36</f>
        <v>1087.3321521570572</v>
      </c>
      <c r="J59" s="46">
        <f>+J58+Per_child_accounting!$AH$36</f>
        <v>1172.1846936219733</v>
      </c>
      <c r="K59" s="46">
        <f>+K58+Per_child_accounting!$AI$36</f>
        <v>1244.1164992444101</v>
      </c>
      <c r="L59" s="46">
        <f>+L58+Per_child_accounting!$AJ$36</f>
        <v>1324.1596872943815</v>
      </c>
      <c r="M59" s="46">
        <f>+M58+Per_child_accounting!$AK$36</f>
        <v>1371.2029208369872</v>
      </c>
      <c r="N59" s="46">
        <f>+N58+Per_child_accounting!$AL$36</f>
        <v>1435.3932811047111</v>
      </c>
      <c r="O59" s="46">
        <f>+O58+Per_child_accounting!$AM$36</f>
        <v>1548.6823451602295</v>
      </c>
      <c r="P59" s="46">
        <f>+P58+Per_child_accounting!$AN$36</f>
        <v>1716.2180047731463</v>
      </c>
      <c r="Q59" s="46">
        <f>+Q58+Per_child_accounting!$AO$36</f>
        <v>1730.6346177919152</v>
      </c>
      <c r="R59" s="46"/>
      <c r="S59" s="113"/>
      <c r="T59" s="113"/>
      <c r="U59" s="113"/>
      <c r="V59" s="113"/>
      <c r="W59" s="113"/>
      <c r="X59" s="113"/>
      <c r="Y59" s="113"/>
      <c r="Z59" s="113"/>
      <c r="AA59" s="113"/>
      <c r="AB59" s="113"/>
      <c r="AC59" s="113"/>
      <c r="AD59" s="113"/>
      <c r="AE59" s="113"/>
      <c r="AF59" s="113"/>
      <c r="AG59" s="113"/>
      <c r="AH59" s="113"/>
      <c r="AI59" s="113"/>
      <c r="AJ59" s="113"/>
      <c r="AK59" s="113"/>
      <c r="AL59" s="113"/>
      <c r="AM59" s="113"/>
      <c r="AN59" s="113"/>
    </row>
    <row r="60" spans="1:40">
      <c r="D60" s="46"/>
      <c r="E60" s="46"/>
      <c r="F60" s="46"/>
      <c r="G60" s="46"/>
      <c r="H60" s="46"/>
      <c r="I60" s="46"/>
      <c r="J60" s="46"/>
      <c r="K60" s="46"/>
      <c r="L60" s="46"/>
      <c r="M60" s="46"/>
      <c r="N60" s="46"/>
      <c r="O60" s="46"/>
      <c r="P60" s="46"/>
      <c r="Q60" s="46"/>
      <c r="R60" s="46"/>
      <c r="S60" s="113"/>
      <c r="T60" s="113"/>
      <c r="U60" s="113"/>
      <c r="V60" s="113"/>
      <c r="W60" s="113"/>
      <c r="X60" s="113"/>
      <c r="Y60" s="113"/>
      <c r="Z60" s="113"/>
      <c r="AA60" s="113"/>
      <c r="AB60" s="113"/>
      <c r="AC60" s="113"/>
      <c r="AD60" s="113"/>
      <c r="AE60" s="113"/>
      <c r="AF60" s="113"/>
      <c r="AG60" s="113"/>
      <c r="AH60" s="113"/>
      <c r="AI60" s="113"/>
      <c r="AJ60" s="113"/>
      <c r="AK60" s="113"/>
      <c r="AL60" s="113"/>
      <c r="AM60" s="113"/>
      <c r="AN60" s="113"/>
    </row>
    <row r="61" spans="1:40" ht="28.5">
      <c r="A61" s="369" t="s">
        <v>232</v>
      </c>
      <c r="B61" s="369"/>
      <c r="C61" s="369"/>
      <c r="D61" s="46"/>
      <c r="E61" s="46"/>
      <c r="F61" s="46"/>
      <c r="G61" s="46"/>
      <c r="H61" s="46"/>
      <c r="I61" s="46"/>
      <c r="J61" s="46"/>
      <c r="K61" s="46"/>
      <c r="L61" s="46"/>
      <c r="M61" s="46"/>
      <c r="N61" s="46"/>
      <c r="O61" s="46"/>
      <c r="P61" s="46"/>
      <c r="Q61" s="46"/>
      <c r="R61" s="46"/>
      <c r="S61" s="113"/>
      <c r="T61" s="113"/>
      <c r="U61" s="113"/>
      <c r="V61" s="113"/>
      <c r="W61" s="113"/>
      <c r="X61" s="113"/>
      <c r="Y61" s="113"/>
      <c r="Z61" s="113"/>
      <c r="AA61" s="113"/>
      <c r="AB61" s="113"/>
      <c r="AC61" s="113"/>
      <c r="AD61" s="113"/>
      <c r="AE61" s="113"/>
      <c r="AF61" s="113"/>
      <c r="AG61" s="113"/>
      <c r="AH61" s="113"/>
      <c r="AI61" s="113"/>
      <c r="AJ61" s="113"/>
      <c r="AK61" s="113"/>
      <c r="AL61" s="113"/>
      <c r="AM61" s="113"/>
      <c r="AN61" s="113"/>
    </row>
    <row r="62" spans="1:40">
      <c r="A62" t="s">
        <v>1086</v>
      </c>
      <c r="B62" s="86" t="s">
        <v>1087</v>
      </c>
      <c r="C62" t="str">
        <f>+CONCATENATE(A$61,B62)</f>
        <v>Melbourne2+0</v>
      </c>
      <c r="D62" s="46">
        <f>IF(+DropINTable!AB51=0,DropINTable!AC51,DropINTable!AB51)</f>
        <v>600.26635653116296</v>
      </c>
      <c r="E62" s="46">
        <f>IF(+DropINTable!AC51=0,DropINTable!AD51,DropINTable!AC51)</f>
        <v>600.26635653116296</v>
      </c>
      <c r="F62" s="46">
        <f>IF(+DropINTable!AD51=0,DropINTable!AE51,DropINTable!AD51)</f>
        <v>614.99980437653721</v>
      </c>
      <c r="G62" s="46">
        <f>IF(+DropINTable!AE51=0,DropINTable!AF51,DropINTable!AE51)</f>
        <v>639.85539466331852</v>
      </c>
      <c r="H62" s="46">
        <f>IF(+DropINTable!AF51=0,DropINTable!AG51,DropINTable!AF51)</f>
        <v>680.54423314864482</v>
      </c>
      <c r="I62" s="46">
        <f>IF(+DropINTable!AG51=0,DropINTable!AH51,DropINTable!AG51)</f>
        <v>743.48775913752183</v>
      </c>
      <c r="J62" s="46">
        <f>IF(+DropINTable!AH51=0,DropINTable!AI51,DropINTable!AH51)</f>
        <v>830.76052782954912</v>
      </c>
      <c r="K62" s="46">
        <f>IF(+DropINTable!AI51=0,DropINTable!AJ51,DropINTable!AI51)</f>
        <v>904.74401446537684</v>
      </c>
      <c r="L62" s="46">
        <f>IF(+DropINTable!AJ51=0,DropINTable!AK51,DropINTable!AJ51)</f>
        <v>987.07024802726278</v>
      </c>
      <c r="M62" s="46">
        <f>IF(+DropINTable!AK51=0,DropINTable!AL51,DropINTable!AK51)</f>
        <v>1035.4552897614951</v>
      </c>
      <c r="N62" s="46">
        <f>IF(+DropINTable!AL51=0,DropINTable!AM51,DropINTable!AL51)</f>
        <v>1101.4765179798469</v>
      </c>
      <c r="O62" s="46">
        <f>IF(+DropINTable!AM51=0,DropINTable!AN51,DropINTable!AM51)</f>
        <v>1217.9968972560202</v>
      </c>
      <c r="P62" s="46">
        <f>IF(+DropINTable!AN51=0,DropINTable!AO51,DropINTable!AN51)</f>
        <v>1390.3111232450415</v>
      </c>
      <c r="Q62" s="46">
        <f>IF(+DropINTable!AO51=0,DropINTable!AP51,DropINTable!AO51)</f>
        <v>1405.1389413542647</v>
      </c>
      <c r="R62" s="46"/>
      <c r="S62" s="113"/>
      <c r="T62" s="113"/>
      <c r="U62" s="113"/>
      <c r="V62" s="113"/>
      <c r="W62" s="113"/>
      <c r="X62" s="113"/>
      <c r="Y62" s="113"/>
      <c r="Z62" s="113"/>
      <c r="AA62" s="113"/>
      <c r="AB62" s="113"/>
      <c r="AC62" s="113"/>
      <c r="AD62" s="113"/>
      <c r="AE62" s="113"/>
      <c r="AF62" s="113"/>
      <c r="AG62" s="113"/>
      <c r="AH62" s="113"/>
      <c r="AI62" s="113"/>
      <c r="AJ62" s="113"/>
      <c r="AK62" s="113"/>
      <c r="AL62" s="113"/>
      <c r="AM62" s="113"/>
      <c r="AN62" s="113"/>
    </row>
    <row r="63" spans="1:40">
      <c r="A63" t="s">
        <v>1088</v>
      </c>
      <c r="B63" s="86" t="s">
        <v>1089</v>
      </c>
      <c r="C63" t="str">
        <f t="shared" ref="C63:C73" si="18">+CONCATENATE(A$61,B63)</f>
        <v>Melbourne2+1</v>
      </c>
      <c r="D63" s="46">
        <f t="shared" ref="D63:D64" si="19">+E63</f>
        <v>704.45736837124161</v>
      </c>
      <c r="E63" s="46">
        <f>IF(+DropINTable!AC52=0,DropINTable!AD52,DropINTable!AC52)</f>
        <v>704.45736837124161</v>
      </c>
      <c r="F63" s="46">
        <f>IF(+DropINTable!AD52=0,DropINTable!AE52,DropINTable!AD52)</f>
        <v>704.45736837124161</v>
      </c>
      <c r="G63" s="46">
        <f>IF(+DropINTable!AE52=0,DropINTable!AF52,DropINTable!AE52)</f>
        <v>729.41918868798314</v>
      </c>
      <c r="H63" s="46">
        <f>IF(+DropINTable!AF52=0,DropINTable!AG52,DropINTable!AF52)</f>
        <v>770.28192662984111</v>
      </c>
      <c r="I63" s="46">
        <f>IF(+DropINTable!AG52=0,DropINTable!AH52,DropINTable!AG52)</f>
        <v>833.49446845635612</v>
      </c>
      <c r="J63" s="46">
        <f>IF(+DropINTable!AH52=0,DropINTable!AI52,DropINTable!AH52)</f>
        <v>921.14023138028256</v>
      </c>
      <c r="K63" s="46">
        <f>IF(+DropINTable!AI52=0,DropINTable!AJ52,DropINTable!AI52)</f>
        <v>995.4399150865479</v>
      </c>
      <c r="L63" s="46">
        <f>IF(+DropINTable!AJ52=0,DropINTable!AK52,DropINTable!AJ52)</f>
        <v>1078.1180035624334</v>
      </c>
      <c r="M63" s="46">
        <f>IF(+DropINTable!AK52=0,DropINTable!AL52,DropINTable!AK52)</f>
        <v>1126.709837390187</v>
      </c>
      <c r="N63" s="46">
        <f>IF(+DropINTable!AL52=0,DropINTable!AM52,DropINTable!AL52)</f>
        <v>1193.013232479406</v>
      </c>
      <c r="O63" s="46">
        <f>IF(+DropINTable!AM52=0,DropINTable!AN52,DropINTable!AM52)</f>
        <v>1310.0316089723692</v>
      </c>
      <c r="P63" s="46">
        <f>IF(+DropINTable!AN52=0,DropINTable!AO52,DropINTable!AN52)</f>
        <v>1483.0822852244801</v>
      </c>
      <c r="Q63" s="46">
        <f>IF(+DropINTable!AO52=0,DropINTable!AP52,DropINTable!AO52)</f>
        <v>1497.9734785175951</v>
      </c>
      <c r="R63" s="46"/>
      <c r="S63" s="113"/>
      <c r="T63" s="113"/>
      <c r="U63" s="113"/>
      <c r="V63" s="113"/>
      <c r="W63" s="113"/>
      <c r="X63" s="113"/>
      <c r="Y63" s="113"/>
      <c r="Z63" s="113"/>
      <c r="AA63" s="113"/>
      <c r="AB63" s="113"/>
      <c r="AC63" s="113"/>
      <c r="AD63" s="113"/>
      <c r="AE63" s="113"/>
      <c r="AF63" s="113"/>
      <c r="AG63" s="113"/>
      <c r="AH63" s="113"/>
      <c r="AI63" s="113"/>
      <c r="AJ63" s="113"/>
      <c r="AK63" s="113"/>
      <c r="AL63" s="113"/>
      <c r="AM63" s="113"/>
      <c r="AN63" s="113"/>
    </row>
    <row r="64" spans="1:40">
      <c r="A64" t="s">
        <v>1090</v>
      </c>
      <c r="B64" s="86" t="s">
        <v>1091</v>
      </c>
      <c r="C64" t="str">
        <f t="shared" si="18"/>
        <v>Melbourne2+2</v>
      </c>
      <c r="D64" s="46">
        <f t="shared" si="19"/>
        <v>770.54669346056608</v>
      </c>
      <c r="E64" s="46">
        <f>IF(+DropINTable!AC53=0,DropINTable!AD53,DropINTable!AC53)</f>
        <v>770.54669346056608</v>
      </c>
      <c r="F64" s="46">
        <f>IF(+DropINTable!AD53=0,DropINTable!AE53,DropINTable!AD53)</f>
        <v>770.54669346056608</v>
      </c>
      <c r="G64" s="46">
        <f>IF(+DropINTable!AE53=0,DropINTable!AF53,DropINTable!AE53)</f>
        <v>795.34555169973476</v>
      </c>
      <c r="H64" s="46">
        <f>IF(+DropINTable!AF53=0,DropINTable!AG53,DropINTable!AF53)</f>
        <v>835.94152268738696</v>
      </c>
      <c r="I64" s="46">
        <f>IF(+DropINTable!AG53=0,DropINTable!AH53,DropINTable!AG53)</f>
        <v>898.74138418683651</v>
      </c>
      <c r="J64" s="46">
        <f>IF(+DropINTable!AH53=0,DropINTable!AI53,DropINTable!AH53)</f>
        <v>985.81495911692639</v>
      </c>
      <c r="K64" s="46">
        <f>IF(+DropINTable!AI53=0,DropINTable!AJ53,DropINTable!AI53)</f>
        <v>1059.6295812545379</v>
      </c>
      <c r="L64" s="46">
        <f>IF(+DropINTable!AJ53=0,DropINTable!AK53,DropINTable!AJ53)</f>
        <v>1141.7679114777436</v>
      </c>
      <c r="M64" s="46">
        <f>IF(+DropINTable!AK53=0,DropINTable!AL53,DropINTable!AK53)</f>
        <v>1190.0425165867346</v>
      </c>
      <c r="N64" s="46">
        <f>IF(+DropINTable!AL53=0,DropINTable!AM53,DropINTable!AL53)</f>
        <v>1255.9130558058725</v>
      </c>
      <c r="O64" s="46">
        <f>IF(+DropINTable!AM53=0,DropINTable!AN53,DropINTable!AM53)</f>
        <v>1372.1674865487873</v>
      </c>
      <c r="P64" s="46">
        <f>IF(+DropINTable!AN53=0,DropINTable!AO53,DropINTable!AN53)</f>
        <v>1544.0884155376327</v>
      </c>
      <c r="Q64" s="46">
        <f>IF(+DropINTable!AO53=0,DropINTable!AP53,DropINTable!AO53)</f>
        <v>1558.8823911039494</v>
      </c>
      <c r="R64" s="46"/>
      <c r="S64" s="113"/>
      <c r="T64" s="113"/>
      <c r="U64" s="113"/>
      <c r="V64" s="113"/>
      <c r="W64" s="113"/>
      <c r="X64" s="113"/>
      <c r="Y64" s="113"/>
      <c r="Z64" s="113"/>
      <c r="AA64" s="113"/>
      <c r="AB64" s="113"/>
      <c r="AC64" s="113"/>
      <c r="AD64" s="113"/>
      <c r="AE64" s="113"/>
      <c r="AF64" s="113"/>
      <c r="AG64" s="113"/>
      <c r="AH64" s="113"/>
      <c r="AI64" s="113"/>
      <c r="AJ64" s="113"/>
      <c r="AK64" s="113"/>
      <c r="AL64" s="113"/>
      <c r="AM64" s="113"/>
      <c r="AN64" s="113"/>
    </row>
    <row r="65" spans="1:40">
      <c r="A65" t="s">
        <v>1092</v>
      </c>
      <c r="B65" s="86" t="s">
        <v>1093</v>
      </c>
      <c r="C65" t="str">
        <f t="shared" si="18"/>
        <v>Melbourne2+3</v>
      </c>
      <c r="D65" s="46">
        <f t="shared" ref="D65" si="20">+F65</f>
        <v>862.63507709406531</v>
      </c>
      <c r="E65" s="46">
        <f>+F65</f>
        <v>862.63507709406531</v>
      </c>
      <c r="F65" s="46">
        <f>IF(+DropINTable!AD54=0,DropINTable!AE54,DropINTable!AD54)</f>
        <v>862.63507709406531</v>
      </c>
      <c r="G65" s="46">
        <f>IF(+DropINTable!AE54=0,DropINTable!AF54,DropINTable!AE54)</f>
        <v>862.63507709406531</v>
      </c>
      <c r="H65" s="46">
        <f>IF(+DropINTable!AF54=0,DropINTable!AG54,DropINTable!AF54)</f>
        <v>903.21629961136762</v>
      </c>
      <c r="I65" s="46">
        <f>IF(+DropINTable!AG54=0,DropINTable!AH54,DropINTable!AG54)</f>
        <v>965.99334976953082</v>
      </c>
      <c r="J65" s="46">
        <f>IF(+DropINTable!AH54=0,DropINTable!AI54,DropINTable!AH54)</f>
        <v>1053.0352976630711</v>
      </c>
      <c r="K65" s="46">
        <f>IF(+DropINTable!AI54=0,DropINTable!AJ54,DropINTable!AI54)</f>
        <v>1126.8231098850763</v>
      </c>
      <c r="L65" s="46">
        <f>IF(+DropINTable!AJ54=0,DropINTable!AK54,DropINTable!AJ54)</f>
        <v>1208.9316031327166</v>
      </c>
      <c r="M65" s="46">
        <f>IF(+DropINTable!AK54=0,DropINTable!AL54,DropINTable!AK54)</f>
        <v>1257.1886748176644</v>
      </c>
      <c r="N65" s="46">
        <f>IF(+DropINTable!AL54=0,DropINTable!AM54,DropINTable!AL54)</f>
        <v>1323.0352845799598</v>
      </c>
      <c r="O65" s="46">
        <f>IF(+DropINTable!AM54=0,DropINTable!AN54,DropINTable!AM54)</f>
        <v>1439.247486801743</v>
      </c>
      <c r="P65" s="46">
        <f>IF(+DropINTable!AN54=0,DropINTable!AO54,DropINTable!AN54)</f>
        <v>1611.1059698133254</v>
      </c>
      <c r="Q65" s="46">
        <f>IF(+DropINTable!AO54=0,DropINTable!AP54,DropINTable!AO54)</f>
        <v>1625.8945699737296</v>
      </c>
      <c r="R65" s="46"/>
      <c r="S65" s="113"/>
      <c r="T65" s="113"/>
      <c r="U65" s="113"/>
      <c r="V65" s="113"/>
      <c r="W65" s="113"/>
      <c r="X65" s="113"/>
      <c r="Y65" s="113"/>
      <c r="Z65" s="113"/>
      <c r="AA65" s="113"/>
      <c r="AB65" s="113"/>
      <c r="AC65" s="113"/>
      <c r="AD65" s="113"/>
      <c r="AE65" s="113"/>
      <c r="AF65" s="113"/>
      <c r="AG65" s="113"/>
      <c r="AH65" s="113"/>
      <c r="AI65" s="113"/>
      <c r="AJ65" s="113"/>
      <c r="AK65" s="113"/>
      <c r="AL65" s="113"/>
      <c r="AM65" s="113"/>
      <c r="AN65" s="113"/>
    </row>
    <row r="66" spans="1:40">
      <c r="B66" s="86" t="s">
        <v>1094</v>
      </c>
      <c r="C66" t="str">
        <f t="shared" ref="C66:C68" si="21">+CONCATENATE(A$61,B66)</f>
        <v>Melbourne2+4</v>
      </c>
      <c r="D66" s="46">
        <f>+D65+Per_child_accounting!$AD$41</f>
        <v>952.09264108876971</v>
      </c>
      <c r="E66" s="46">
        <f>+E65+Per_child_accounting!$AD$41</f>
        <v>952.09264108876971</v>
      </c>
      <c r="F66" s="46">
        <f>+F65+Per_child_accounting!AD$41</f>
        <v>952.09264108876971</v>
      </c>
      <c r="G66" s="46">
        <f>+G65+Per_child_accounting!AE$41</f>
        <v>952.19887111872993</v>
      </c>
      <c r="H66" s="46">
        <f>+H65+Per_child_accounting!AF$41</f>
        <v>992.95399309256391</v>
      </c>
      <c r="I66" s="46">
        <f>+I65+Per_child_accounting!AG$41</f>
        <v>1056.0000590883651</v>
      </c>
      <c r="J66" s="46">
        <f>+J65+Per_child_accounting!AH$41</f>
        <v>1143.4150012138045</v>
      </c>
      <c r="K66" s="46">
        <f>+K65+Per_child_accounting!AI$41</f>
        <v>1217.5190105062475</v>
      </c>
      <c r="L66" s="46">
        <f>+L65+Per_child_accounting!AJ$41</f>
        <v>1299.9793586678873</v>
      </c>
      <c r="M66" s="46">
        <f>+M65+Per_child_accounting!AK$41</f>
        <v>1348.4432224463562</v>
      </c>
      <c r="N66" s="46">
        <f>+N65+Per_child_accounting!AL$41</f>
        <v>1414.5719990795189</v>
      </c>
      <c r="O66" s="46">
        <f>+O65+Per_child_accounting!AM$41</f>
        <v>1531.2821985180919</v>
      </c>
      <c r="P66" s="46">
        <f>+P65+Per_child_accounting!AN$41</f>
        <v>1703.877131792764</v>
      </c>
      <c r="Q66" s="46">
        <f>+Q65+Per_child_accounting!AO$41</f>
        <v>1718.7291071370601</v>
      </c>
      <c r="R66" s="46"/>
      <c r="S66" s="113"/>
      <c r="T66" s="113"/>
      <c r="U66" s="113"/>
      <c r="V66" s="113"/>
      <c r="W66" s="113"/>
      <c r="X66" s="113"/>
      <c r="Y66" s="113"/>
      <c r="Z66" s="113"/>
      <c r="AA66" s="113"/>
      <c r="AB66" s="113"/>
      <c r="AC66" s="113"/>
      <c r="AD66" s="113"/>
      <c r="AE66" s="113"/>
      <c r="AF66" s="113"/>
      <c r="AG66" s="113"/>
      <c r="AH66" s="113"/>
      <c r="AI66" s="113"/>
      <c r="AJ66" s="113"/>
      <c r="AK66" s="113"/>
      <c r="AL66" s="113"/>
      <c r="AM66" s="113"/>
      <c r="AN66" s="113"/>
    </row>
    <row r="67" spans="1:40">
      <c r="B67" s="86" t="s">
        <v>1095</v>
      </c>
      <c r="C67" t="str">
        <f t="shared" si="21"/>
        <v>Melbourne2+5</v>
      </c>
      <c r="D67" s="46">
        <f>+D66+Per_child_accounting!$AD$41</f>
        <v>1041.5502050834741</v>
      </c>
      <c r="E67" s="46">
        <f>+E66+Per_child_accounting!$AD$41</f>
        <v>1041.5502050834741</v>
      </c>
      <c r="F67" s="46">
        <f>+F66+Per_child_accounting!$AD$41</f>
        <v>1041.5502050834741</v>
      </c>
      <c r="G67" s="46">
        <f>+G66+Per_child_accounting!AE$41</f>
        <v>1041.7626651433945</v>
      </c>
      <c r="H67" s="46">
        <f>+H66+Per_child_accounting!AF$41</f>
        <v>1082.6916865737603</v>
      </c>
      <c r="I67" s="46">
        <f>+I66+Per_child_accounting!AG$41</f>
        <v>1146.0067684071994</v>
      </c>
      <c r="J67" s="46">
        <f>+J66+Per_child_accounting!AH$41</f>
        <v>1233.794704764538</v>
      </c>
      <c r="K67" s="46">
        <f>+K66+Per_child_accounting!AI$41</f>
        <v>1308.2149111274184</v>
      </c>
      <c r="L67" s="46">
        <f>+L66+Per_child_accounting!AJ$41</f>
        <v>1391.0271142030579</v>
      </c>
      <c r="M67" s="46">
        <f>+M66+Per_child_accounting!AK$41</f>
        <v>1439.6977700750481</v>
      </c>
      <c r="N67" s="46">
        <f>+N66+Per_child_accounting!AL$41</f>
        <v>1506.1087135790781</v>
      </c>
      <c r="O67" s="46">
        <f>+O66+Per_child_accounting!AM$41</f>
        <v>1623.3169102344409</v>
      </c>
      <c r="P67" s="46">
        <f>+P66+Per_child_accounting!AN$41</f>
        <v>1796.6482937722026</v>
      </c>
      <c r="Q67" s="46">
        <f>+Q66+Per_child_accounting!AO$41</f>
        <v>1811.5636443003905</v>
      </c>
      <c r="R67" s="46"/>
      <c r="S67" s="113"/>
      <c r="T67" s="113"/>
      <c r="U67" s="113"/>
      <c r="V67" s="113"/>
      <c r="W67" s="113"/>
      <c r="X67" s="113"/>
      <c r="Y67" s="113"/>
      <c r="Z67" s="113"/>
      <c r="AA67" s="113"/>
      <c r="AB67" s="113"/>
      <c r="AC67" s="113"/>
      <c r="AD67" s="113"/>
      <c r="AE67" s="113"/>
      <c r="AF67" s="113"/>
      <c r="AG67" s="113"/>
      <c r="AH67" s="113"/>
      <c r="AI67" s="113"/>
      <c r="AJ67" s="113"/>
      <c r="AK67" s="113"/>
      <c r="AL67" s="113"/>
      <c r="AM67" s="113"/>
      <c r="AN67" s="113"/>
    </row>
    <row r="68" spans="1:40">
      <c r="B68" s="86" t="s">
        <v>1096</v>
      </c>
      <c r="C68" t="str">
        <f t="shared" si="21"/>
        <v>Melbourne2+6</v>
      </c>
      <c r="D68" s="46">
        <f>+D67+Per_child_accounting!$AD$41</f>
        <v>1131.0077690781786</v>
      </c>
      <c r="E68" s="46">
        <f>+E67+Per_child_accounting!$AD$41</f>
        <v>1131.0077690781786</v>
      </c>
      <c r="F68" s="46">
        <f>+F67+Per_child_accounting!$AD$41</f>
        <v>1131.0077690781786</v>
      </c>
      <c r="G68" s="46">
        <f>+G67+Per_child_accounting!AE$41</f>
        <v>1131.326459168059</v>
      </c>
      <c r="H68" s="46">
        <f>+H67+Per_child_accounting!AF$41</f>
        <v>1172.4293800549567</v>
      </c>
      <c r="I68" s="46">
        <f>+I67+Per_child_accounting!AG$41</f>
        <v>1236.0134777260337</v>
      </c>
      <c r="J68" s="46">
        <f>+J67+Per_child_accounting!AH$41</f>
        <v>1324.1744083152714</v>
      </c>
      <c r="K68" s="46">
        <f>+K67+Per_child_accounting!AI$41</f>
        <v>1398.9108117485894</v>
      </c>
      <c r="L68" s="46">
        <f>+L67+Per_child_accounting!AJ$41</f>
        <v>1482.0748697382285</v>
      </c>
      <c r="M68" s="46">
        <f>+M67+Per_child_accounting!AK$41</f>
        <v>1530.9523177037399</v>
      </c>
      <c r="N68" s="46">
        <f>+N67+Per_child_accounting!AL$41</f>
        <v>1597.6454280786372</v>
      </c>
      <c r="O68" s="46">
        <f>+O67+Per_child_accounting!AM$41</f>
        <v>1715.3516219507899</v>
      </c>
      <c r="P68" s="46">
        <f>+P67+Per_child_accounting!AN$41</f>
        <v>1889.4194557516412</v>
      </c>
      <c r="Q68" s="46">
        <f>+Q67+Per_child_accounting!AO$41</f>
        <v>1904.3981814637209</v>
      </c>
      <c r="R68" s="46"/>
      <c r="S68" s="113"/>
      <c r="T68" s="113"/>
      <c r="U68" s="113"/>
      <c r="V68" s="113"/>
      <c r="W68" s="113"/>
      <c r="X68" s="113"/>
      <c r="Y68" s="113"/>
      <c r="Z68" s="113"/>
      <c r="AA68" s="113"/>
      <c r="AB68" s="113"/>
      <c r="AC68" s="113"/>
      <c r="AD68" s="113"/>
      <c r="AE68" s="113"/>
      <c r="AF68" s="113"/>
      <c r="AG68" s="113"/>
      <c r="AH68" s="113"/>
      <c r="AI68" s="113"/>
      <c r="AJ68" s="113"/>
      <c r="AK68" s="113"/>
      <c r="AL68" s="113"/>
      <c r="AM68" s="113"/>
      <c r="AN68" s="113"/>
    </row>
    <row r="69" spans="1:40">
      <c r="B69" s="86"/>
      <c r="D69" s="46"/>
      <c r="E69" s="46"/>
      <c r="F69" s="46"/>
      <c r="G69" s="46"/>
      <c r="H69" s="46"/>
      <c r="I69" s="46"/>
      <c r="J69" s="46"/>
      <c r="K69" s="46"/>
      <c r="L69" s="46"/>
      <c r="M69" s="46"/>
      <c r="N69" s="46"/>
      <c r="O69" s="46"/>
      <c r="P69" s="46"/>
      <c r="Q69" s="46"/>
      <c r="R69" s="46"/>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1:40">
      <c r="A70" t="s">
        <v>1097</v>
      </c>
      <c r="B70" s="86" t="s">
        <v>1098</v>
      </c>
      <c r="C70" t="str">
        <f t="shared" si="18"/>
        <v>Melbourne1+0</v>
      </c>
      <c r="D70" s="46">
        <f>IF(+DropINTable!AB56=0,DropINTable!AC56,DropINTable!AB56)</f>
        <v>312.66971696548228</v>
      </c>
      <c r="E70" s="46">
        <f>IF(+DropINTable!AC56=0,DropINTable!AD56,DropINTable!AC56)</f>
        <v>328.07339901500308</v>
      </c>
      <c r="F70" s="46">
        <f>IF(+DropINTable!AD56=0,DropINTable!AE56,DropINTable!AD56)</f>
        <v>342.83226102310766</v>
      </c>
      <c r="G70" s="46">
        <f>IF(+DropINTable!AE56=0,DropINTable!AF56,DropINTable!AE56)</f>
        <v>367.73072562659536</v>
      </c>
      <c r="H70" s="46">
        <f>IF(+DropINTable!AF56=0,DropINTable!AG56,DropINTable!AF56)</f>
        <v>408.48974902470911</v>
      </c>
      <c r="I70" s="46">
        <f>IF(+DropINTable!AG56=0,DropINTable!AH56,DropINTable!AG56)</f>
        <v>471.54184767898971</v>
      </c>
      <c r="J70" s="46">
        <f>IF(+DropINTable!AH56=0,DropINTable!AI56,DropINTable!AH56)</f>
        <v>558.96515472100509</v>
      </c>
      <c r="K70" s="46">
        <f>IF(+DropINTable!AI56=0,DropINTable!AJ56,DropINTable!AI56)</f>
        <v>633.07625581714467</v>
      </c>
      <c r="L70" s="46">
        <f>IF(+DropINTable!AJ56=0,DropINTable!AK56,DropINTable!AJ56)</f>
        <v>715.54449708527738</v>
      </c>
      <c r="M70" s="46">
        <f>IF(+DropINTable!AK56=0,DropINTable!AL56,DropINTable!AK56)</f>
        <v>764.01299802843732</v>
      </c>
      <c r="N70" s="46">
        <f>IF(+DropINTable!AL56=0,DropINTable!AM56,DropINTable!AL56)</f>
        <v>830.14810681364497</v>
      </c>
      <c r="O70" s="46">
        <f>IF(+DropINTable!AM56=0,DropINTable!AN56,DropINTable!AM56)</f>
        <v>946.86947496755272</v>
      </c>
      <c r="P70" s="46">
        <f>IF(+DropINTable!AN56=0,DropINTable!AO56,DropINTable!AN56)</f>
        <v>1119.4809290831115</v>
      </c>
      <c r="Q70" s="46">
        <f>IF(+DropINTable!AO56=0,DropINTable!AP56,DropINTable!AO56)</f>
        <v>1134.3343238617335</v>
      </c>
      <c r="R70" s="46"/>
      <c r="S70" s="113"/>
      <c r="T70" s="113"/>
      <c r="U70" s="113"/>
      <c r="V70" s="113"/>
      <c r="W70" s="113"/>
      <c r="X70" s="113"/>
      <c r="Y70" s="113"/>
      <c r="Z70" s="113"/>
      <c r="AA70" s="113"/>
      <c r="AB70" s="113"/>
      <c r="AC70" s="113"/>
      <c r="AD70" s="113"/>
      <c r="AE70" s="113"/>
      <c r="AF70" s="113"/>
      <c r="AG70" s="113"/>
      <c r="AH70" s="113"/>
      <c r="AI70" s="113"/>
      <c r="AJ70" s="113"/>
      <c r="AK70" s="113"/>
      <c r="AL70" s="113"/>
      <c r="AM70" s="113"/>
      <c r="AN70" s="113"/>
    </row>
    <row r="71" spans="1:40">
      <c r="A71" t="s">
        <v>1099</v>
      </c>
      <c r="B71" s="86" t="s">
        <v>1100</v>
      </c>
      <c r="C71" t="str">
        <f t="shared" si="18"/>
        <v>Melbourne1+1</v>
      </c>
      <c r="D71" s="46">
        <f>IF(+DropINTable!AB57=0,DropINTable!AC57,DropINTable!AB57)</f>
        <v>425.29189706313002</v>
      </c>
      <c r="E71" s="46">
        <f>IF(+DropINTable!AC57=0,DropINTable!AD57,DropINTable!AC57)</f>
        <v>425.29189706313002</v>
      </c>
      <c r="F71" s="46">
        <f>IF(+DropINTable!AD57=0,DropINTable!AE57,DropINTable!AD57)</f>
        <v>439.95274663259823</v>
      </c>
      <c r="G71" s="46">
        <f>IF(+DropINTable!AE57=0,DropINTable!AF57,DropINTable!AE57)</f>
        <v>464.685862294385</v>
      </c>
      <c r="H71" s="46">
        <f>IF(+DropINTable!AF57=0,DropINTable!AG57,DropINTable!AF57)</f>
        <v>505.17420911783626</v>
      </c>
      <c r="I71" s="46">
        <f>IF(+DropINTable!AG57=0,DropINTable!AH57,DropINTable!AG57)</f>
        <v>567.80758257115235</v>
      </c>
      <c r="J71" s="46">
        <f>IF(+DropINTable!AH57=0,DropINTable!AI57,DropINTable!AH57)</f>
        <v>654.65031979042362</v>
      </c>
      <c r="K71" s="46">
        <f>IF(+DropINTable!AI57=0,DropINTable!AJ57,DropINTable!AI57)</f>
        <v>728.26925618177847</v>
      </c>
      <c r="L71" s="46">
        <f>IF(+DropINTable!AJ57=0,DropINTable!AK57,DropINTable!AJ57)</f>
        <v>810.18983309779969</v>
      </c>
      <c r="M71" s="46">
        <f>IF(+DropINTable!AK57=0,DropINTable!AL57,DropINTable!AK57)</f>
        <v>858.3364578258429</v>
      </c>
      <c r="N71" s="46">
        <f>IF(+DropINTable!AL57=0,DropINTable!AM57,DropINTable!AL57)</f>
        <v>924.03236972858917</v>
      </c>
      <c r="O71" s="46">
        <f>IF(+DropINTable!AM57=0,DropINTable!AN57,DropINTable!AM57)</f>
        <v>1039.9786022275957</v>
      </c>
      <c r="P71" s="46">
        <f>IF(+DropINTable!AN57=0,DropINTable!AO57,DropINTable!AN57)</f>
        <v>1211.4437568015874</v>
      </c>
      <c r="Q71" s="46">
        <f>IF(+DropINTable!AO57=0,DropINTable!AP57,DropINTable!AO57)</f>
        <v>1226.1985119692592</v>
      </c>
      <c r="R71" s="46"/>
      <c r="S71" s="113"/>
      <c r="T71" s="113"/>
      <c r="U71" s="113"/>
      <c r="V71" s="113"/>
      <c r="W71" s="113"/>
      <c r="X71" s="113"/>
      <c r="Y71" s="113"/>
      <c r="Z71" s="113"/>
      <c r="AA71" s="113"/>
      <c r="AB71" s="113"/>
      <c r="AC71" s="113"/>
      <c r="AD71" s="113"/>
      <c r="AE71" s="113"/>
      <c r="AF71" s="113"/>
      <c r="AG71" s="113"/>
      <c r="AH71" s="113"/>
      <c r="AI71" s="113"/>
      <c r="AJ71" s="113"/>
      <c r="AK71" s="113"/>
      <c r="AL71" s="113"/>
      <c r="AM71" s="113"/>
      <c r="AN71" s="113"/>
    </row>
    <row r="72" spans="1:40">
      <c r="A72" t="s">
        <v>1101</v>
      </c>
      <c r="B72" s="86" t="s">
        <v>1102</v>
      </c>
      <c r="C72" t="str">
        <f t="shared" si="18"/>
        <v>Melbourne1+2</v>
      </c>
      <c r="D72" s="46">
        <f>IF(+DropINTable!AB58=0,DropINTable!AC58,DropINTable!AB58)</f>
        <v>535.51626423411403</v>
      </c>
      <c r="E72" s="46">
        <f>IF(+DropINTable!AC58=0,DropINTable!AD58,DropINTable!AC58)</f>
        <v>535.51626423411403</v>
      </c>
      <c r="F72" s="46">
        <f>IF(+DropINTable!AD58=0,DropINTable!AE58,DropINTable!AD58)</f>
        <v>550.15613998037725</v>
      </c>
      <c r="G72" s="46">
        <f>IF(+DropINTable!AE58=0,DropINTable!AF58,DropINTable!AE58)</f>
        <v>574.85387171958155</v>
      </c>
      <c r="H72" s="46">
        <f>IF(+DropINTable!AF58=0,DropINTable!AG58,DropINTable!AF58)</f>
        <v>615.28429405433894</v>
      </c>
      <c r="I72" s="46">
        <f>IF(+DropINTable!AG58=0,DropINTable!AH58,DropINTable!AG58)</f>
        <v>677.82806763984365</v>
      </c>
      <c r="J72" s="46">
        <f>IF(+DropINTable!AH58=0,DropINTable!AI58,DropINTable!AH58)</f>
        <v>764.54656482292194</v>
      </c>
      <c r="K72" s="46">
        <f>IF(+DropINTable!AI58=0,DropINTable!AJ58,DropINTable!AI58)</f>
        <v>838.06017967309549</v>
      </c>
      <c r="L72" s="46">
        <f>IF(+DropINTable!AJ58=0,DropINTable!AK58,DropINTable!AJ58)</f>
        <v>919.863556378461</v>
      </c>
      <c r="M72" s="46">
        <f>IF(+DropINTable!AK58=0,DropINTable!AL58,DropINTable!AK58)</f>
        <v>967.94130309874015</v>
      </c>
      <c r="N72" s="46">
        <f>IF(+DropINTable!AL58=0,DropINTable!AM58,DropINTable!AL58)</f>
        <v>1033.5432367206281</v>
      </c>
      <c r="O72" s="46">
        <f>IF(+DropINTable!AM58=0,DropINTable!AN58,DropINTable!AM58)</f>
        <v>1149.3235859458707</v>
      </c>
      <c r="P72" s="46">
        <f>IF(+DropINTable!AN58=0,DropINTable!AO58,DropINTable!AN58)</f>
        <v>1320.5434439026892</v>
      </c>
      <c r="Q72" s="46">
        <f>IF(+DropINTable!AO58=0,DropINTable!AP58,DropINTable!AO58)</f>
        <v>1335.2770867932088</v>
      </c>
      <c r="R72" s="46"/>
      <c r="S72" s="113"/>
      <c r="T72" s="113"/>
      <c r="U72" s="113"/>
      <c r="V72" s="113"/>
      <c r="W72" s="113"/>
      <c r="X72" s="113"/>
      <c r="Y72" s="113"/>
      <c r="Z72" s="113"/>
      <c r="AA72" s="113"/>
      <c r="AB72" s="113"/>
      <c r="AC72" s="113"/>
      <c r="AD72" s="113"/>
      <c r="AE72" s="113"/>
      <c r="AF72" s="113"/>
      <c r="AG72" s="113"/>
      <c r="AH72" s="113"/>
      <c r="AI72" s="113"/>
      <c r="AJ72" s="113"/>
      <c r="AK72" s="113"/>
      <c r="AL72" s="113"/>
      <c r="AM72" s="113"/>
      <c r="AN72" s="113"/>
    </row>
    <row r="73" spans="1:40">
      <c r="A73" t="s">
        <v>1103</v>
      </c>
      <c r="B73" s="86" t="s">
        <v>1104</v>
      </c>
      <c r="C73" t="str">
        <f t="shared" si="18"/>
        <v>Melbourne1+3</v>
      </c>
      <c r="D73" s="46">
        <f t="shared" ref="D73" si="22">+E73</f>
        <v>660.3595333281562</v>
      </c>
      <c r="E73" s="46">
        <f>IF(+DropINTable!AC59=0,DropINTable!AD59,DropINTable!AC59)</f>
        <v>660.3595333281562</v>
      </c>
      <c r="F73" s="46">
        <f>IF(+DropINTable!AD59=0,DropINTable!AE59,DropINTable!AD59)</f>
        <v>660.3595333281562</v>
      </c>
      <c r="G73" s="46">
        <f>IF(+DropINTable!AE59=0,DropINTable!AF59,DropINTable!AE59)</f>
        <v>685.02188114477804</v>
      </c>
      <c r="H73" s="46">
        <f>IF(+DropINTable!AF59=0,DropINTable!AG59,DropINTable!AF59)</f>
        <v>725.39437899084169</v>
      </c>
      <c r="I73" s="46">
        <f>IF(+DropINTable!AG59=0,DropINTable!AH59,DropINTable!AG59)</f>
        <v>787.84855270853495</v>
      </c>
      <c r="J73" s="46">
        <f>IF(+DropINTable!AH59=0,DropINTable!AI59,DropINTable!AH59)</f>
        <v>874.44280985542025</v>
      </c>
      <c r="K73" s="46">
        <f>IF(+DropINTable!AI59=0,DropINTable!AJ59,DropINTable!AI59)</f>
        <v>947.85110316441251</v>
      </c>
      <c r="L73" s="46">
        <f>IF(+DropINTable!AJ59=0,DropINTable!AK59,DropINTable!AJ59)</f>
        <v>1029.5372796591223</v>
      </c>
      <c r="M73" s="46">
        <f>IF(+DropINTable!AK59=0,DropINTable!AL59,DropINTable!AK59)</f>
        <v>1077.5461483716374</v>
      </c>
      <c r="N73" s="46">
        <f>IF(+DropINTable!AL59=0,DropINTable!AM59,DropINTable!AL59)</f>
        <v>1143.054103712667</v>
      </c>
      <c r="O73" s="46">
        <f>IF(+DropINTable!AM59=0,DropINTable!AN59,DropINTable!AM59)</f>
        <v>1258.6685696641457</v>
      </c>
      <c r="P73" s="46">
        <f>IF(+DropINTable!AN59=0,DropINTable!AO59,DropINTable!AN59)</f>
        <v>1429.643131003791</v>
      </c>
      <c r="Q73" s="46">
        <f>IF(+DropINTable!AO59=0,DropINTable!AP59,DropINTable!AO59)</f>
        <v>1444.3556616171584</v>
      </c>
      <c r="R73" s="46"/>
      <c r="S73" s="113"/>
      <c r="T73" s="113"/>
      <c r="U73" s="113"/>
      <c r="V73" s="113"/>
      <c r="W73" s="113"/>
      <c r="X73" s="113"/>
      <c r="Y73" s="113"/>
      <c r="Z73" s="113"/>
      <c r="AA73" s="113"/>
      <c r="AB73" s="113"/>
      <c r="AC73" s="113"/>
      <c r="AD73" s="113"/>
      <c r="AE73" s="113"/>
      <c r="AF73" s="113"/>
      <c r="AG73" s="113"/>
      <c r="AH73" s="113"/>
      <c r="AI73" s="113"/>
      <c r="AJ73" s="113"/>
      <c r="AK73" s="113"/>
      <c r="AL73" s="113"/>
      <c r="AM73" s="113"/>
      <c r="AN73" s="113"/>
    </row>
    <row r="74" spans="1:40">
      <c r="B74" s="86" t="s">
        <v>1105</v>
      </c>
      <c r="C74" t="str">
        <f t="shared" ref="C74:C76" si="23">+CONCATENATE(A$61,B74)</f>
        <v>Melbourne1+4</v>
      </c>
      <c r="D74" s="46">
        <f>+D73+Per_child_accounting!AC$44</f>
        <v>757.57803137628321</v>
      </c>
      <c r="E74" s="46">
        <f>+E73+Per_child_accounting!AC$44</f>
        <v>757.57803137628321</v>
      </c>
      <c r="F74" s="46">
        <f>+F73+Per_child_accounting!AD$44</f>
        <v>757.48001893764672</v>
      </c>
      <c r="G74" s="46">
        <f>+G73+Per_child_accounting!AE$44</f>
        <v>781.97701781256774</v>
      </c>
      <c r="H74" s="46">
        <f>+H73+Per_child_accounting!AF$44</f>
        <v>822.07883908396889</v>
      </c>
      <c r="I74" s="46">
        <f>+I73+Per_child_accounting!AG$44</f>
        <v>884.11428760069759</v>
      </c>
      <c r="J74" s="46">
        <f>+J73+Per_child_accounting!AH$44</f>
        <v>970.12797492483878</v>
      </c>
      <c r="K74" s="46">
        <f>+K73+Per_child_accounting!AI$44</f>
        <v>1043.0441035290464</v>
      </c>
      <c r="L74" s="46">
        <f>+L73+Per_child_accounting!AJ$44</f>
        <v>1124.1826156716447</v>
      </c>
      <c r="M74" s="46">
        <f>+M73+Per_child_accounting!AK$44</f>
        <v>1171.869608169043</v>
      </c>
      <c r="N74" s="46">
        <f>+N73+Per_child_accounting!AL$44</f>
        <v>1236.9383666276112</v>
      </c>
      <c r="O74" s="46">
        <f>+O73+Per_child_accounting!AM$44</f>
        <v>1351.7776969241886</v>
      </c>
      <c r="P74" s="46">
        <f>+P73+Per_child_accounting!AN$44</f>
        <v>1521.6059587222669</v>
      </c>
      <c r="Q74" s="46">
        <f>+Q73+Per_child_accounting!AO$44</f>
        <v>1536.2198497246841</v>
      </c>
      <c r="R74" s="46"/>
      <c r="S74" s="113"/>
      <c r="T74" s="113"/>
      <c r="U74" s="113"/>
      <c r="V74" s="113"/>
      <c r="W74" s="113"/>
      <c r="X74" s="113"/>
      <c r="Y74" s="113"/>
      <c r="Z74" s="113"/>
      <c r="AA74" s="113"/>
      <c r="AB74" s="113"/>
      <c r="AC74" s="113"/>
      <c r="AD74" s="113"/>
      <c r="AE74" s="113"/>
      <c r="AF74" s="113"/>
      <c r="AG74" s="113"/>
      <c r="AH74" s="113"/>
      <c r="AI74" s="113"/>
      <c r="AJ74" s="113"/>
      <c r="AK74" s="113"/>
      <c r="AL74" s="113"/>
      <c r="AM74" s="113"/>
      <c r="AN74" s="113"/>
    </row>
    <row r="75" spans="1:40">
      <c r="B75" s="86" t="s">
        <v>1106</v>
      </c>
      <c r="C75" t="str">
        <f t="shared" si="23"/>
        <v>Melbourne1+5</v>
      </c>
      <c r="D75" s="46">
        <f>+D74+Per_child_accounting!AC$44</f>
        <v>854.79652942441021</v>
      </c>
      <c r="E75" s="46">
        <f>+E74+Per_child_accounting!AC$44</f>
        <v>854.79652942441021</v>
      </c>
      <c r="F75" s="46">
        <f>+F74+Per_child_accounting!AD$44</f>
        <v>854.60050454713723</v>
      </c>
      <c r="G75" s="46">
        <f>+G74+Per_child_accounting!AE$44</f>
        <v>878.93215448035744</v>
      </c>
      <c r="H75" s="46">
        <f>+H74+Per_child_accounting!AF$44</f>
        <v>918.76329917709609</v>
      </c>
      <c r="I75" s="46">
        <f>+I74+Per_child_accounting!AG$44</f>
        <v>980.38002249286023</v>
      </c>
      <c r="J75" s="46">
        <f>+J74+Per_child_accounting!AH$44</f>
        <v>1065.8131399942572</v>
      </c>
      <c r="K75" s="46">
        <f>+K74+Per_child_accounting!AI$44</f>
        <v>1138.2371038936803</v>
      </c>
      <c r="L75" s="46">
        <f>+L74+Per_child_accounting!AJ$44</f>
        <v>1218.8279516841671</v>
      </c>
      <c r="M75" s="46">
        <f>+M74+Per_child_accounting!AK$44</f>
        <v>1266.1930679664486</v>
      </c>
      <c r="N75" s="46">
        <f>+N74+Per_child_accounting!AL$44</f>
        <v>1330.8226295425554</v>
      </c>
      <c r="O75" s="46">
        <f>+O74+Per_child_accounting!AM$44</f>
        <v>1444.8868241842315</v>
      </c>
      <c r="P75" s="46">
        <f>+P74+Per_child_accounting!AN$44</f>
        <v>1613.5687864407428</v>
      </c>
      <c r="Q75" s="46">
        <f>+Q74+Per_child_accounting!AO$44</f>
        <v>1628.0840378322098</v>
      </c>
      <c r="R75" s="46"/>
      <c r="S75" s="113"/>
      <c r="T75" s="113"/>
      <c r="U75" s="113"/>
      <c r="V75" s="113"/>
      <c r="W75" s="113"/>
      <c r="X75" s="113"/>
      <c r="Y75" s="113"/>
      <c r="Z75" s="113"/>
      <c r="AA75" s="113"/>
      <c r="AB75" s="113"/>
      <c r="AC75" s="113"/>
      <c r="AD75" s="113"/>
      <c r="AE75" s="113"/>
      <c r="AF75" s="113"/>
      <c r="AG75" s="113"/>
      <c r="AH75" s="113"/>
      <c r="AI75" s="113"/>
      <c r="AJ75" s="113"/>
      <c r="AK75" s="113"/>
      <c r="AL75" s="113"/>
      <c r="AM75" s="113"/>
      <c r="AN75" s="113"/>
    </row>
    <row r="76" spans="1:40">
      <c r="B76" s="86" t="s">
        <v>1107</v>
      </c>
      <c r="C76" t="str">
        <f t="shared" si="23"/>
        <v>Melbourne1+6</v>
      </c>
      <c r="D76" s="46">
        <f>+D75+Per_child_accounting!AC$44</f>
        <v>952.01502747253721</v>
      </c>
      <c r="E76" s="46">
        <f>+E75+Per_child_accounting!AC$44</f>
        <v>952.01502747253721</v>
      </c>
      <c r="F76" s="46">
        <f>+F75+Per_child_accounting!AD$44</f>
        <v>951.72099015662775</v>
      </c>
      <c r="G76" s="46">
        <f>+G75+Per_child_accounting!AE$44</f>
        <v>975.88729114814714</v>
      </c>
      <c r="H76" s="46">
        <f>+H75+Per_child_accounting!AF$44</f>
        <v>1015.4477592702233</v>
      </c>
      <c r="I76" s="46">
        <f>+I75+Per_child_accounting!AG$44</f>
        <v>1076.645757385023</v>
      </c>
      <c r="J76" s="46">
        <f>+J75+Per_child_accounting!AH$44</f>
        <v>1161.4983050636756</v>
      </c>
      <c r="K76" s="46">
        <f>+K75+Per_child_accounting!AI$44</f>
        <v>1233.4301042583143</v>
      </c>
      <c r="L76" s="46">
        <f>+L75+Per_child_accounting!AJ$44</f>
        <v>1313.4732876966896</v>
      </c>
      <c r="M76" s="46">
        <f>+M75+Per_child_accounting!AK$44</f>
        <v>1360.5165277638541</v>
      </c>
      <c r="N76" s="46">
        <f>+N75+Per_child_accounting!AL$44</f>
        <v>1424.7068924574996</v>
      </c>
      <c r="O76" s="46">
        <f>+O75+Per_child_accounting!AM$44</f>
        <v>1537.9959514442744</v>
      </c>
      <c r="P76" s="46">
        <f>+P75+Per_child_accounting!AN$44</f>
        <v>1705.5316141592186</v>
      </c>
      <c r="Q76" s="46">
        <f>+Q75+Per_child_accounting!AO$44</f>
        <v>1719.9482259397355</v>
      </c>
      <c r="R76" s="46"/>
      <c r="S76" s="113"/>
      <c r="T76" s="113"/>
      <c r="U76" s="113"/>
      <c r="V76" s="113"/>
      <c r="W76" s="113"/>
      <c r="X76" s="113"/>
      <c r="Y76" s="113"/>
      <c r="Z76" s="113"/>
      <c r="AA76" s="113"/>
      <c r="AB76" s="113"/>
      <c r="AC76" s="113"/>
      <c r="AD76" s="113"/>
      <c r="AE76" s="113"/>
      <c r="AF76" s="113"/>
      <c r="AG76" s="113"/>
      <c r="AH76" s="113"/>
      <c r="AI76" s="113"/>
      <c r="AJ76" s="113"/>
      <c r="AK76" s="113"/>
      <c r="AL76" s="113"/>
      <c r="AM76" s="113"/>
      <c r="AN76" s="113"/>
    </row>
    <row r="77" spans="1:40">
      <c r="D77" s="46"/>
      <c r="E77" s="46"/>
      <c r="F77" s="46"/>
      <c r="G77" s="46"/>
      <c r="H77" s="46"/>
      <c r="I77" s="46"/>
      <c r="J77" s="46"/>
      <c r="K77" s="46"/>
      <c r="L77" s="46"/>
      <c r="M77" s="46"/>
      <c r="N77" s="46"/>
      <c r="O77" s="46"/>
      <c r="P77" s="46"/>
      <c r="Q77" s="46"/>
      <c r="R77" s="46"/>
      <c r="S77" s="113"/>
      <c r="T77" s="113"/>
      <c r="U77" s="113"/>
      <c r="V77" s="113"/>
      <c r="W77" s="113"/>
      <c r="X77" s="113"/>
      <c r="Y77" s="113"/>
      <c r="Z77" s="113"/>
      <c r="AA77" s="113"/>
      <c r="AB77" s="113"/>
      <c r="AC77" s="113"/>
      <c r="AD77" s="113"/>
      <c r="AE77" s="113"/>
      <c r="AF77" s="113"/>
      <c r="AG77" s="113"/>
      <c r="AH77" s="113"/>
      <c r="AI77" s="113"/>
      <c r="AJ77" s="113"/>
      <c r="AK77" s="113"/>
      <c r="AL77" s="113"/>
      <c r="AM77" s="113"/>
      <c r="AN77" s="113"/>
    </row>
    <row r="78" spans="1:40" ht="28.5">
      <c r="A78" s="369" t="s">
        <v>239</v>
      </c>
      <c r="B78" s="369"/>
      <c r="C78" s="369"/>
      <c r="D78" s="46"/>
      <c r="E78" s="46"/>
      <c r="F78" s="46"/>
      <c r="G78" s="46"/>
      <c r="H78" s="46"/>
      <c r="I78" s="46"/>
      <c r="J78" s="46"/>
      <c r="K78" s="46"/>
      <c r="L78" s="46"/>
      <c r="M78" s="46"/>
      <c r="N78" s="46"/>
      <c r="O78" s="46"/>
      <c r="P78" s="46"/>
      <c r="Q78" s="46"/>
      <c r="R78" s="46"/>
      <c r="S78" s="113"/>
      <c r="T78" s="113"/>
      <c r="U78" s="113"/>
      <c r="V78" s="113"/>
      <c r="W78" s="113"/>
      <c r="X78" s="113"/>
      <c r="Y78" s="113"/>
      <c r="Z78" s="113"/>
      <c r="AA78" s="113"/>
      <c r="AB78" s="113"/>
      <c r="AC78" s="113"/>
      <c r="AD78" s="113"/>
      <c r="AE78" s="113"/>
      <c r="AF78" s="113"/>
      <c r="AG78" s="113"/>
      <c r="AH78" s="113"/>
      <c r="AI78" s="113"/>
      <c r="AJ78" s="113"/>
      <c r="AK78" s="113"/>
      <c r="AL78" s="113"/>
      <c r="AM78" s="113"/>
      <c r="AN78" s="113"/>
    </row>
    <row r="79" spans="1:40">
      <c r="A79" t="s">
        <v>1086</v>
      </c>
      <c r="B79" s="86" t="s">
        <v>1087</v>
      </c>
      <c r="C79" t="str">
        <f>+CONCATENATE(A$78,B79)</f>
        <v>Balance of VIC2+0</v>
      </c>
      <c r="D79" s="46">
        <f>IF(+DropINTable!AB63=0,DropINTable!AC63,DropINTable!AB63)</f>
        <v>634.68352900776608</v>
      </c>
      <c r="E79" s="46">
        <f>IF(+DropINTable!AC63=0,DropINTable!AD63,DropINTable!AC63)</f>
        <v>634.68352900776608</v>
      </c>
      <c r="F79" s="46">
        <f>IF(+DropINTable!AD63=0,DropINTable!AE63,DropINTable!AD63)</f>
        <v>649.41697698793166</v>
      </c>
      <c r="G79" s="46">
        <f>IF(+DropINTable!AE63=0,DropINTable!AF63,DropINTable!AE63)</f>
        <v>674.27256723443031</v>
      </c>
      <c r="H79" s="46">
        <f>IF(+DropINTable!AF63=0,DropINTable!AG63,DropINTable!AF63)</f>
        <v>714.96140606370716</v>
      </c>
      <c r="I79" s="46">
        <f>IF(+DropINTable!AG63=0,DropINTable!AH63,DropINTable!AG63)</f>
        <v>777.90493237794271</v>
      </c>
      <c r="J79" s="46">
        <f>IF(+DropINTable!AH63=0,DropINTable!AI63,DropINTable!AH63)</f>
        <v>865.17770128997438</v>
      </c>
      <c r="K79" s="46">
        <f>IF(+DropINTable!AI63=0,DropINTable!AJ63,DropINTable!AI63)</f>
        <v>939.16118656549361</v>
      </c>
      <c r="L79" s="46">
        <f>IF(+DropINTable!AJ63=0,DropINTable!AK63,DropINTable!AJ63)</f>
        <v>1021.487422203477</v>
      </c>
      <c r="M79" s="46">
        <f>IF(+DropINTable!AK63=0,DropINTable!AL63,DropINTable!AK63)</f>
        <v>1069.8724619607688</v>
      </c>
      <c r="N79" s="46">
        <f>IF(+DropINTable!AL63=0,DropINTable!AM63,DropINTable!AL63)</f>
        <v>1135.8936905261696</v>
      </c>
      <c r="O79" s="46">
        <f>IF(+DropINTable!AM63=0,DropINTable!AN63,DropINTable!AM63)</f>
        <v>1252.4140707939121</v>
      </c>
      <c r="P79" s="46">
        <f>IF(+DropINTable!AN63=0,DropINTable!AO63,DropINTable!AN63)</f>
        <v>1424.7282959215081</v>
      </c>
      <c r="Q79" s="46">
        <f>IF(+DropINTable!AO63=0,DropINTable!AP63,DropINTable!AO63)</f>
        <v>1439.5561152206133</v>
      </c>
      <c r="R79" s="46"/>
      <c r="S79" s="113"/>
      <c r="T79" s="113"/>
      <c r="U79" s="113"/>
      <c r="V79" s="113"/>
      <c r="W79" s="113"/>
      <c r="X79" s="113"/>
      <c r="Y79" s="113"/>
      <c r="Z79" s="113"/>
      <c r="AA79" s="113"/>
      <c r="AB79" s="113"/>
      <c r="AC79" s="113"/>
      <c r="AD79" s="113"/>
      <c r="AE79" s="113"/>
      <c r="AF79" s="113"/>
      <c r="AG79" s="113"/>
      <c r="AH79" s="113"/>
      <c r="AI79" s="113"/>
      <c r="AJ79" s="113"/>
      <c r="AK79" s="113"/>
      <c r="AL79" s="113"/>
      <c r="AM79" s="113"/>
      <c r="AN79" s="113"/>
    </row>
    <row r="80" spans="1:40">
      <c r="A80" t="s">
        <v>1088</v>
      </c>
      <c r="B80" s="86" t="s">
        <v>1089</v>
      </c>
      <c r="C80" t="str">
        <f t="shared" ref="C80:C90" si="24">+CONCATENATE(A$78,B80)</f>
        <v>Balance of VIC2+1</v>
      </c>
      <c r="D80" s="46">
        <f t="shared" ref="D80:D81" si="25">+E80</f>
        <v>739.02163511444348</v>
      </c>
      <c r="E80" s="46">
        <f>IF(+DropINTable!AC64=0,DropINTable!AD64,DropINTable!AC64)</f>
        <v>739.02163511444348</v>
      </c>
      <c r="F80" s="46">
        <f>IF(+DropINTable!AD64=0,DropINTable!AE64,DropINTable!AD64)</f>
        <v>739.02163511444348</v>
      </c>
      <c r="G80" s="46">
        <f>IF(+DropINTable!AE64=0,DropINTable!AF64,DropINTable!AE64)</f>
        <v>763.98345655908724</v>
      </c>
      <c r="H80" s="46">
        <f>IF(+DropINTable!AF64=0,DropINTable!AG64,DropINTable!AF64)</f>
        <v>804.84619596497726</v>
      </c>
      <c r="I80" s="46">
        <f>IF(+DropINTable!AG64=0,DropINTable!AH64,DropINTable!AG64)</f>
        <v>868.05873534147929</v>
      </c>
      <c r="J80" s="46">
        <f>IF(+DropINTable!AH64=0,DropINTable!AI64,DropINTable!AH64)</f>
        <v>955.70449986388974</v>
      </c>
      <c r="K80" s="46">
        <f>IF(+DropINTable!AI64=0,DropINTable!AJ64,DropINTable!AI64)</f>
        <v>1030.0041827036871</v>
      </c>
      <c r="L80" s="46">
        <f>IF(+DropINTable!AJ64=0,DropINTable!AK64,DropINTable!AJ64)</f>
        <v>1112.6822711496945</v>
      </c>
      <c r="M80" s="46">
        <f>IF(+DropINTable!AK64=0,DropINTable!AL64,DropINTable!AK64)</f>
        <v>1161.2741048579353</v>
      </c>
      <c r="N80" s="46">
        <f>IF(+DropINTable!AL64=0,DropINTable!AM64,DropINTable!AL64)</f>
        <v>1227.5775005745963</v>
      </c>
      <c r="O80" s="46">
        <f>IF(+DropINTable!AM64=0,DropINTable!AN64,DropINTable!AM64)</f>
        <v>1344.5958767687782</v>
      </c>
      <c r="P80" s="46">
        <f>IF(+DropINTable!AN64=0,DropINTable!AO64,DropINTable!AN64)</f>
        <v>1517.6465557696833</v>
      </c>
      <c r="Q80" s="46">
        <f>IF(+DropINTable!AO64=0,DropINTable!AP64,DropINTable!AO64)</f>
        <v>1532.5377470908372</v>
      </c>
      <c r="R80" s="46"/>
      <c r="S80" s="113"/>
      <c r="T80" s="113"/>
      <c r="U80" s="113"/>
      <c r="V80" s="113"/>
      <c r="W80" s="113"/>
      <c r="X80" s="113"/>
      <c r="Y80" s="113"/>
      <c r="Z80" s="113"/>
      <c r="AA80" s="113"/>
      <c r="AB80" s="113"/>
      <c r="AC80" s="113"/>
      <c r="AD80" s="113"/>
      <c r="AE80" s="113"/>
      <c r="AF80" s="113"/>
      <c r="AG80" s="113"/>
      <c r="AH80" s="113"/>
      <c r="AI80" s="113"/>
      <c r="AJ80" s="113"/>
      <c r="AK80" s="113"/>
      <c r="AL80" s="113"/>
      <c r="AM80" s="113"/>
      <c r="AN80" s="113"/>
    </row>
    <row r="81" spans="1:40">
      <c r="A81" t="s">
        <v>1090</v>
      </c>
      <c r="B81" s="86" t="s">
        <v>1091</v>
      </c>
      <c r="C81" t="str">
        <f t="shared" si="24"/>
        <v>Balance of VIC2+2</v>
      </c>
      <c r="D81" s="46">
        <f t="shared" si="25"/>
        <v>804.88531190040396</v>
      </c>
      <c r="E81" s="46">
        <f>IF(+DropINTable!AC65=0,DropINTable!AD65,DropINTable!AC65)</f>
        <v>804.88531190040396</v>
      </c>
      <c r="F81" s="46">
        <f>IF(+DropINTable!AD65=0,DropINTable!AE65,DropINTable!AD65)</f>
        <v>804.88531190040396</v>
      </c>
      <c r="G81" s="46">
        <f>IF(+DropINTable!AE65=0,DropINTable!AF65,DropINTable!AE65)</f>
        <v>829.68417210852022</v>
      </c>
      <c r="H81" s="46">
        <f>IF(+DropINTable!AF65=0,DropINTable!AG65,DropINTable!AF65)</f>
        <v>870.28013985763039</v>
      </c>
      <c r="I81" s="46">
        <f>IF(+DropINTable!AG65=0,DropINTable!AH65,DropINTable!AG65)</f>
        <v>933.08000094822739</v>
      </c>
      <c r="J81" s="46">
        <f>IF(+DropINTable!AH65=0,DropINTable!AI65,DropINTable!AH65)</f>
        <v>1020.1535760827435</v>
      </c>
      <c r="K81" s="46">
        <f>IF(+DropINTable!AI65=0,DropINTable!AJ65,DropINTable!AI65)</f>
        <v>1093.9681975855581</v>
      </c>
      <c r="L81" s="46">
        <f>IF(+DropINTable!AJ65=0,DropINTable!AK65,DropINTable!AJ65)</f>
        <v>1176.1065295732849</v>
      </c>
      <c r="M81" s="46">
        <f>IF(+DropINTable!AK65=0,DropINTable!AL65,DropINTable!AK65)</f>
        <v>1224.3811360809816</v>
      </c>
      <c r="N81" s="46">
        <f>IF(+DropINTable!AL65=0,DropINTable!AM65,DropINTable!AL65)</f>
        <v>1290.2516733204127</v>
      </c>
      <c r="O81" s="46">
        <f>IF(+DropINTable!AM65=0,DropINTable!AN65,DropINTable!AM65)</f>
        <v>1406.5061031810669</v>
      </c>
      <c r="P81" s="46">
        <f>IF(+DropINTable!AN65=0,DropINTable!AO65,DropINTable!AN65)</f>
        <v>1578.4270330736917</v>
      </c>
      <c r="Q81" s="46">
        <f>IF(+DropINTable!AO65=0,DropINTable!AP65,DropINTable!AO65)</f>
        <v>1593.2210092855648</v>
      </c>
      <c r="R81" s="46"/>
      <c r="S81" s="113"/>
      <c r="T81" s="113"/>
      <c r="U81" s="113"/>
      <c r="V81" s="113"/>
      <c r="W81" s="113"/>
      <c r="X81" s="113"/>
      <c r="Y81" s="113"/>
      <c r="Z81" s="113"/>
      <c r="AA81" s="113"/>
      <c r="AB81" s="113"/>
      <c r="AC81" s="113"/>
      <c r="AD81" s="113"/>
      <c r="AE81" s="113"/>
      <c r="AF81" s="113"/>
      <c r="AG81" s="113"/>
      <c r="AH81" s="113"/>
      <c r="AI81" s="113"/>
      <c r="AJ81" s="113"/>
      <c r="AK81" s="113"/>
      <c r="AL81" s="113"/>
      <c r="AM81" s="113"/>
      <c r="AN81" s="113"/>
    </row>
    <row r="82" spans="1:40">
      <c r="A82" t="s">
        <v>1092</v>
      </c>
      <c r="B82" s="86" t="s">
        <v>1093</v>
      </c>
      <c r="C82" t="str">
        <f t="shared" si="24"/>
        <v>Balance of VIC2+3</v>
      </c>
      <c r="D82" s="46">
        <f t="shared" ref="D82" si="26">+F82</f>
        <v>896.96122041141155</v>
      </c>
      <c r="E82" s="46">
        <f>+F82</f>
        <v>896.96122041141155</v>
      </c>
      <c r="F82" s="46">
        <f>IF(+DropINTable!AD66=0,DropINTable!AE66,DropINTable!AD66)</f>
        <v>896.96122041141155</v>
      </c>
      <c r="G82" s="46">
        <f>IF(+DropINTable!AE66=0,DropINTable!AF66,DropINTable!AE66)</f>
        <v>896.96122041141155</v>
      </c>
      <c r="H82" s="46">
        <f>IF(+DropINTable!AF66=0,DropINTable!AG66,DropINTable!AF66)</f>
        <v>937.54244375160215</v>
      </c>
      <c r="I82" s="46">
        <f>IF(+DropINTable!AG66=0,DropINTable!AH66,DropINTable!AG66)</f>
        <v>1000.3194957612642</v>
      </c>
      <c r="J82" s="46">
        <f>IF(+DropINTable!AH66=0,DropINTable!AI66,DropINTable!AH66)</f>
        <v>1087.3614433609159</v>
      </c>
      <c r="K82" s="46">
        <f>IF(+DropINTable!AI66=0,DropINTable!AJ66,DropINTable!AI66)</f>
        <v>1161.1492532318111</v>
      </c>
      <c r="L82" s="46">
        <f>IF(+DropINTable!AJ66=0,DropINTable!AK66,DropINTable!AJ66)</f>
        <v>1243.2577508877825</v>
      </c>
      <c r="M82" s="46">
        <f>IF(+DropINTable!AK66=0,DropINTable!AL66,DropINTable!AK66)</f>
        <v>1291.514818517066</v>
      </c>
      <c r="N82" s="46">
        <f>IF(+DropINTable!AL66=0,DropINTable!AM66,DropINTable!AL66)</f>
        <v>1357.3614317472479</v>
      </c>
      <c r="O82" s="46">
        <f>IF(+DropINTable!AM66=0,DropINTable!AN66,DropINTable!AM66)</f>
        <v>1473.573632558365</v>
      </c>
      <c r="P82" s="46">
        <f>IF(+DropINTable!AN66=0,DropINTable!AO66,DropINTable!AN66)</f>
        <v>1645.4321152172811</v>
      </c>
      <c r="Q82" s="46">
        <f>IF(+DropINTable!AO66=0,DropINTable!AP66,DropINTable!AO66)</f>
        <v>1660.2207176112399</v>
      </c>
      <c r="R82" s="46"/>
      <c r="S82" s="113"/>
      <c r="T82" s="113"/>
      <c r="U82" s="113"/>
      <c r="V82" s="113"/>
      <c r="W82" s="113"/>
      <c r="X82" s="113"/>
      <c r="Y82" s="113"/>
      <c r="Z82" s="113"/>
      <c r="AA82" s="113"/>
      <c r="AB82" s="113"/>
      <c r="AC82" s="113"/>
      <c r="AD82" s="113"/>
      <c r="AE82" s="113"/>
      <c r="AF82" s="113"/>
      <c r="AG82" s="113"/>
      <c r="AH82" s="113"/>
      <c r="AI82" s="113"/>
      <c r="AJ82" s="113"/>
      <c r="AK82" s="113"/>
      <c r="AL82" s="113"/>
      <c r="AM82" s="113"/>
      <c r="AN82" s="113"/>
    </row>
    <row r="83" spans="1:40">
      <c r="B83" s="86" t="s">
        <v>1094</v>
      </c>
      <c r="C83" t="str">
        <f t="shared" ref="C83:C85" si="27">+CONCATENATE(A$78,B83)</f>
        <v>Balance of VIC2+4</v>
      </c>
      <c r="D83" s="46">
        <f>+D82+Per_child_accounting!$AD$49</f>
        <v>986.56587853792337</v>
      </c>
      <c r="E83" s="46">
        <f>+E82+Per_child_accounting!$AD$49</f>
        <v>986.56587853792337</v>
      </c>
      <c r="F83" s="46">
        <f>+F82+Per_child_accounting!AD$49</f>
        <v>986.56587853792337</v>
      </c>
      <c r="G83" s="46">
        <f>+G82+Per_child_accounting!AE$49</f>
        <v>986.67210973606848</v>
      </c>
      <c r="H83" s="46">
        <f>+H82+Per_child_accounting!AF$49</f>
        <v>1027.4272336528722</v>
      </c>
      <c r="I83" s="46">
        <f>+I82+Per_child_accounting!AG$49</f>
        <v>1090.4732987248008</v>
      </c>
      <c r="J83" s="46">
        <f>+J82+Per_child_accounting!AH$49</f>
        <v>1177.8882419348313</v>
      </c>
      <c r="K83" s="46">
        <f>+K82+Per_child_accounting!AI$49</f>
        <v>1251.9922493700046</v>
      </c>
      <c r="L83" s="46">
        <f>+L82+Per_child_accounting!AJ$49</f>
        <v>1334.452599834</v>
      </c>
      <c r="M83" s="46">
        <f>+M82+Per_child_accounting!AK$49</f>
        <v>1382.9164614142326</v>
      </c>
      <c r="N83" s="46">
        <f>+N82+Per_child_accounting!AL$49</f>
        <v>1449.0452417956747</v>
      </c>
      <c r="O83" s="46">
        <f>+O82+Per_child_accounting!AM$49</f>
        <v>1565.7554385332312</v>
      </c>
      <c r="P83" s="46">
        <f>+P82+Per_child_accounting!AN$49</f>
        <v>1738.3503750654563</v>
      </c>
      <c r="Q83" s="46">
        <f>+Q82+Per_child_accounting!AO$49</f>
        <v>1753.2023494814639</v>
      </c>
      <c r="R83" s="46"/>
      <c r="S83" s="113"/>
      <c r="T83" s="113"/>
      <c r="U83" s="113"/>
      <c r="V83" s="113"/>
      <c r="W83" s="113"/>
      <c r="X83" s="113"/>
      <c r="Y83" s="113"/>
      <c r="Z83" s="113"/>
      <c r="AA83" s="113"/>
      <c r="AB83" s="113"/>
      <c r="AC83" s="113"/>
      <c r="AD83" s="113"/>
      <c r="AE83" s="113"/>
      <c r="AF83" s="113"/>
      <c r="AG83" s="113"/>
      <c r="AH83" s="113"/>
      <c r="AI83" s="113"/>
      <c r="AJ83" s="113"/>
      <c r="AK83" s="113"/>
      <c r="AL83" s="113"/>
      <c r="AM83" s="113"/>
      <c r="AN83" s="113"/>
    </row>
    <row r="84" spans="1:40">
      <c r="B84" s="86" t="s">
        <v>1095</v>
      </c>
      <c r="C84" t="str">
        <f t="shared" si="27"/>
        <v>Balance of VIC2+5</v>
      </c>
      <c r="D84" s="46">
        <f>+D83+Per_child_accounting!$AD$49</f>
        <v>1076.1705366644351</v>
      </c>
      <c r="E84" s="46">
        <f>+E83+Per_child_accounting!$AD$49</f>
        <v>1076.1705366644351</v>
      </c>
      <c r="F84" s="46">
        <f>+F83+Per_child_accounting!$AD$49</f>
        <v>1076.1705366644351</v>
      </c>
      <c r="G84" s="46">
        <f>+G83+Per_child_accounting!AE$49</f>
        <v>1076.3829990607255</v>
      </c>
      <c r="H84" s="46">
        <f>+H83+Per_child_accounting!AF$49</f>
        <v>1117.3120235541423</v>
      </c>
      <c r="I84" s="46">
        <f>+I83+Per_child_accounting!AG$49</f>
        <v>1180.6271016883375</v>
      </c>
      <c r="J84" s="46">
        <f>+J83+Per_child_accounting!AH$49</f>
        <v>1268.4150405087466</v>
      </c>
      <c r="K84" s="46">
        <f>+K83+Per_child_accounting!AI$49</f>
        <v>1342.8352455081981</v>
      </c>
      <c r="L84" s="46">
        <f>+L83+Per_child_accounting!AJ$49</f>
        <v>1425.6474487802175</v>
      </c>
      <c r="M84" s="46">
        <f>+M83+Per_child_accounting!AK$49</f>
        <v>1474.3181043113991</v>
      </c>
      <c r="N84" s="46">
        <f>+N83+Per_child_accounting!AL$49</f>
        <v>1540.7290518441014</v>
      </c>
      <c r="O84" s="46">
        <f>+O83+Per_child_accounting!AM$49</f>
        <v>1657.9372445080974</v>
      </c>
      <c r="P84" s="46">
        <f>+P83+Per_child_accounting!AN$49</f>
        <v>1831.2686349136316</v>
      </c>
      <c r="Q84" s="46">
        <f>+Q83+Per_child_accounting!AO$49</f>
        <v>1846.1839813516879</v>
      </c>
      <c r="R84" s="46"/>
      <c r="S84" s="113"/>
      <c r="T84" s="113"/>
      <c r="U84" s="113"/>
      <c r="V84" s="113"/>
      <c r="W84" s="113"/>
      <c r="X84" s="113"/>
      <c r="Y84" s="113"/>
      <c r="Z84" s="113"/>
      <c r="AA84" s="113"/>
      <c r="AB84" s="113"/>
      <c r="AC84" s="113"/>
      <c r="AD84" s="113"/>
      <c r="AE84" s="113"/>
      <c r="AF84" s="113"/>
      <c r="AG84" s="113"/>
      <c r="AH84" s="113"/>
      <c r="AI84" s="113"/>
      <c r="AJ84" s="113"/>
      <c r="AK84" s="113"/>
      <c r="AL84" s="113"/>
      <c r="AM84" s="113"/>
      <c r="AN84" s="113"/>
    </row>
    <row r="85" spans="1:40">
      <c r="B85" s="86" t="s">
        <v>1096</v>
      </c>
      <c r="C85" t="str">
        <f t="shared" si="27"/>
        <v>Balance of VIC2+6</v>
      </c>
      <c r="D85" s="46">
        <f>+D84+Per_child_accounting!$AD$49</f>
        <v>1165.7751947909469</v>
      </c>
      <c r="E85" s="46">
        <f>+E84+Per_child_accounting!$AD$49</f>
        <v>1165.7751947909469</v>
      </c>
      <c r="F85" s="46">
        <f>+F84+Per_child_accounting!$AD$49</f>
        <v>1165.7751947909469</v>
      </c>
      <c r="G85" s="46">
        <f>+G84+Per_child_accounting!AE$49</f>
        <v>1166.0938883853823</v>
      </c>
      <c r="H85" s="46">
        <f>+H84+Per_child_accounting!AF$49</f>
        <v>1207.1968134554124</v>
      </c>
      <c r="I85" s="46">
        <f>+I84+Per_child_accounting!AG$49</f>
        <v>1270.7809046518742</v>
      </c>
      <c r="J85" s="46">
        <f>+J84+Per_child_accounting!AH$49</f>
        <v>1358.941839082662</v>
      </c>
      <c r="K85" s="46">
        <f>+K84+Per_child_accounting!AI$49</f>
        <v>1433.6782416463916</v>
      </c>
      <c r="L85" s="46">
        <f>+L84+Per_child_accounting!AJ$49</f>
        <v>1516.8422977264349</v>
      </c>
      <c r="M85" s="46">
        <f>+M84+Per_child_accounting!AK$49</f>
        <v>1565.7197472085656</v>
      </c>
      <c r="N85" s="46">
        <f>+N84+Per_child_accounting!AL$49</f>
        <v>1632.4128618925281</v>
      </c>
      <c r="O85" s="46">
        <f>+O84+Per_child_accounting!AM$49</f>
        <v>1750.1190504829635</v>
      </c>
      <c r="P85" s="46">
        <f>+P84+Per_child_accounting!AN$49</f>
        <v>1924.1868947618068</v>
      </c>
      <c r="Q85" s="46">
        <f>+Q84+Per_child_accounting!AO$49</f>
        <v>1939.1656132219118</v>
      </c>
      <c r="R85" s="46"/>
      <c r="S85" s="113"/>
      <c r="T85" s="113"/>
      <c r="U85" s="113"/>
      <c r="V85" s="113"/>
      <c r="W85" s="113"/>
      <c r="X85" s="113"/>
      <c r="Y85" s="113"/>
      <c r="Z85" s="113"/>
      <c r="AA85" s="113"/>
      <c r="AB85" s="113"/>
      <c r="AC85" s="113"/>
      <c r="AD85" s="113"/>
      <c r="AE85" s="113"/>
      <c r="AF85" s="113"/>
      <c r="AG85" s="113"/>
      <c r="AH85" s="113"/>
      <c r="AI85" s="113"/>
      <c r="AJ85" s="113"/>
      <c r="AK85" s="113"/>
      <c r="AL85" s="113"/>
      <c r="AM85" s="113"/>
      <c r="AN85" s="113"/>
    </row>
    <row r="86" spans="1:40">
      <c r="B86" s="86"/>
      <c r="D86" s="46"/>
      <c r="E86" s="46"/>
      <c r="F86" s="46"/>
      <c r="G86" s="46"/>
      <c r="H86" s="46"/>
      <c r="I86" s="46"/>
      <c r="J86" s="46"/>
      <c r="K86" s="46"/>
      <c r="L86" s="46"/>
      <c r="M86" s="46"/>
      <c r="N86" s="46"/>
      <c r="O86" s="46"/>
      <c r="P86" s="46"/>
      <c r="Q86" s="46"/>
      <c r="R86" s="46"/>
      <c r="S86" s="113"/>
      <c r="T86" s="113"/>
      <c r="U86" s="113"/>
      <c r="V86" s="113"/>
      <c r="W86" s="113"/>
      <c r="X86" s="113"/>
      <c r="Y86" s="113"/>
      <c r="Z86" s="113"/>
      <c r="AA86" s="113"/>
      <c r="AB86" s="113"/>
      <c r="AC86" s="113"/>
      <c r="AD86" s="113"/>
      <c r="AE86" s="113"/>
      <c r="AF86" s="113"/>
      <c r="AG86" s="113"/>
      <c r="AH86" s="113"/>
      <c r="AI86" s="113"/>
      <c r="AJ86" s="113"/>
      <c r="AK86" s="113"/>
      <c r="AL86" s="113"/>
      <c r="AM86" s="113"/>
      <c r="AN86" s="113"/>
    </row>
    <row r="87" spans="1:40">
      <c r="A87" t="s">
        <v>1097</v>
      </c>
      <c r="B87" s="86" t="s">
        <v>1098</v>
      </c>
      <c r="C87" t="str">
        <f t="shared" si="24"/>
        <v>Balance of VIC1+0</v>
      </c>
      <c r="D87" s="46">
        <f>IF(+DropINTable!AB68=0,DropINTable!AC68,DropINTable!AB68)</f>
        <v>347.14625675456119</v>
      </c>
      <c r="E87" s="46">
        <f>IF(+DropINTable!AC68=0,DropINTable!AD68,DropINTable!AC68)</f>
        <v>362.54993863392571</v>
      </c>
      <c r="F87" s="46">
        <f>IF(+DropINTable!AD68=0,DropINTable!AE68,DropINTable!AD68)</f>
        <v>377.30880068575101</v>
      </c>
      <c r="G87" s="46">
        <f>IF(+DropINTable!AE68=0,DropINTable!AF68,DropINTable!AE68)</f>
        <v>402.20726523013258</v>
      </c>
      <c r="H87" s="46">
        <f>IF(+DropINTable!AF68=0,DropINTable!AG68,DropINTable!AF68)</f>
        <v>442.96628894090946</v>
      </c>
      <c r="I87" s="46">
        <f>IF(+DropINTable!AG68=0,DropINTable!AH68,DropINTable!AG68)</f>
        <v>506.01838637194879</v>
      </c>
      <c r="J87" s="46">
        <f>IF(+DropINTable!AH68=0,DropINTable!AI68,DropINTable!AH68)</f>
        <v>593.44169355102201</v>
      </c>
      <c r="K87" s="46">
        <f>IF(+DropINTable!AI68=0,DropINTable!AJ68,DropINTable!AI68)</f>
        <v>667.55279541468553</v>
      </c>
      <c r="L87" s="46">
        <f>IF(+DropINTable!AJ68=0,DropINTable!AK68,DropINTable!AJ68)</f>
        <v>750.02103592214735</v>
      </c>
      <c r="M87" s="46">
        <f>IF(+DropINTable!AK68=0,DropINTable!AL68,DropINTable!AK68)</f>
        <v>798.48953805771066</v>
      </c>
      <c r="N87" s="46">
        <f>IF(+DropINTable!AL68=0,DropINTable!AM68,DropINTable!AL68)</f>
        <v>864.62464656194959</v>
      </c>
      <c r="O87" s="46">
        <f>IF(+DropINTable!AM68=0,DropINTable!AN68,DropINTable!AM68)</f>
        <v>981.34601440747701</v>
      </c>
      <c r="P87" s="46">
        <f>IF(+DropINTable!AN68=0,DropINTable!AO68,DropINTable!AN68)</f>
        <v>1153.9574685778589</v>
      </c>
      <c r="Q87" s="46">
        <f>IF(+DropINTable!AO68=0,DropINTable!AP68,DropINTable!AO68)</f>
        <v>1168.8108630960712</v>
      </c>
      <c r="R87" s="46"/>
      <c r="S87" s="113"/>
      <c r="T87" s="113"/>
      <c r="U87" s="113"/>
      <c r="V87" s="113"/>
      <c r="W87" s="113"/>
      <c r="X87" s="113"/>
      <c r="Y87" s="113"/>
      <c r="Z87" s="113"/>
      <c r="AA87" s="113"/>
      <c r="AB87" s="113"/>
      <c r="AC87" s="113"/>
      <c r="AD87" s="113"/>
      <c r="AE87" s="113"/>
      <c r="AF87" s="113"/>
      <c r="AG87" s="113"/>
      <c r="AH87" s="113"/>
      <c r="AI87" s="113"/>
      <c r="AJ87" s="113"/>
      <c r="AK87" s="113"/>
      <c r="AL87" s="113"/>
      <c r="AM87" s="113"/>
      <c r="AN87" s="113"/>
    </row>
    <row r="88" spans="1:40">
      <c r="A88" t="s">
        <v>1099</v>
      </c>
      <c r="B88" s="86" t="s">
        <v>1100</v>
      </c>
      <c r="C88" t="str">
        <f t="shared" si="24"/>
        <v>Balance of VIC1+1</v>
      </c>
      <c r="D88" s="46">
        <f>IF(+DropINTable!AB69=0,DropINTable!AC69,DropINTable!AB69)</f>
        <v>459.53947984253864</v>
      </c>
      <c r="E88" s="46">
        <f>IF(+DropINTable!AC69=0,DropINTable!AD69,DropINTable!AC69)</f>
        <v>459.53947984253864</v>
      </c>
      <c r="F88" s="46">
        <f>IF(+DropINTable!AD69=0,DropINTable!AE69,DropINTable!AD69)</f>
        <v>474.20032958362822</v>
      </c>
      <c r="G88" s="46">
        <f>IF(+DropINTable!AE69=0,DropINTable!AF69,DropINTable!AE69)</f>
        <v>498.93344598237775</v>
      </c>
      <c r="H88" s="46">
        <f>IF(+DropINTable!AF69=0,DropINTable!AG69,DropINTable!AF69)</f>
        <v>539.4217909280884</v>
      </c>
      <c r="I88" s="46">
        <f>IF(+DropINTable!AG69=0,DropINTable!AH69,DropINTable!AG69)</f>
        <v>602.05516749078117</v>
      </c>
      <c r="J88" s="46">
        <f>IF(+DropINTable!AH69=0,DropINTable!AI69,DropINTable!AH69)</f>
        <v>688.89790361975145</v>
      </c>
      <c r="K88" s="46">
        <f>IF(+DropINTable!AI69=0,DropINTable!AJ69,DropINTable!AI69)</f>
        <v>762.51684001110641</v>
      </c>
      <c r="L88" s="46">
        <f>IF(+DropINTable!AJ69=0,DropINTable!AK69,DropINTable!AJ69)</f>
        <v>844.43741515034117</v>
      </c>
      <c r="M88" s="46">
        <f>IF(+DropINTable!AK69=0,DropINTable!AL69,DropINTable!AK69)</f>
        <v>892.58404084754056</v>
      </c>
      <c r="N88" s="46">
        <f>IF(+DropINTable!AL69=0,DropINTable!AM69,DropINTable!AL69)</f>
        <v>958.27995258876081</v>
      </c>
      <c r="O88" s="46">
        <f>IF(+DropINTable!AM69=0,DropINTable!AN69,DropINTable!AM69)</f>
        <v>1074.2261859761607</v>
      </c>
      <c r="P88" s="46">
        <f>IF(+DropINTable!AN69=0,DropINTable!AO69,DropINTable!AN69)</f>
        <v>1245.6913407924415</v>
      </c>
      <c r="Q88" s="46">
        <f>IF(+DropINTable!AO69=0,DropINTable!AP69,DropINTable!AO69)</f>
        <v>1260.4460959601131</v>
      </c>
      <c r="R88" s="46"/>
      <c r="S88" s="113"/>
      <c r="T88" s="113"/>
      <c r="U88" s="113"/>
      <c r="V88" s="113"/>
      <c r="W88" s="113"/>
      <c r="X88" s="113"/>
      <c r="Y88" s="113"/>
      <c r="Z88" s="113"/>
      <c r="AA88" s="113"/>
      <c r="AB88" s="113"/>
      <c r="AC88" s="113"/>
      <c r="AD88" s="113"/>
      <c r="AE88" s="113"/>
      <c r="AF88" s="113"/>
      <c r="AG88" s="113"/>
      <c r="AH88" s="113"/>
      <c r="AI88" s="113"/>
      <c r="AJ88" s="113"/>
      <c r="AK88" s="113"/>
      <c r="AL88" s="113"/>
      <c r="AM88" s="113"/>
      <c r="AN88" s="113"/>
    </row>
    <row r="89" spans="1:40">
      <c r="A89" t="s">
        <v>1101</v>
      </c>
      <c r="B89" s="86" t="s">
        <v>1102</v>
      </c>
      <c r="C89" t="str">
        <f t="shared" si="24"/>
        <v>Balance of VIC1+2</v>
      </c>
      <c r="D89" s="46">
        <f>IF(+DropINTable!AB70=0,DropINTable!AC70,DropINTable!AB70)</f>
        <v>569.71485373273197</v>
      </c>
      <c r="E89" s="46">
        <f>IF(+DropINTable!AC70=0,DropINTable!AD70,DropINTable!AC70)</f>
        <v>569.71485373273197</v>
      </c>
      <c r="F89" s="46">
        <f>IF(+DropINTable!AD70=0,DropINTable!AE70,DropINTable!AD70)</f>
        <v>584.35472847647827</v>
      </c>
      <c r="G89" s="46">
        <f>IF(+DropINTable!AE70=0,DropINTable!AF70,DropINTable!AE70)</f>
        <v>609.05245896864938</v>
      </c>
      <c r="H89" s="46">
        <f>IF(+DropINTable!AF70=0,DropINTable!AG70,DropINTable!AF70)</f>
        <v>649.48288472663512</v>
      </c>
      <c r="I89" s="46">
        <f>IF(+DropINTable!AG70=0,DropINTable!AH70,DropINTable!AG70)</f>
        <v>712.02665361742663</v>
      </c>
      <c r="J89" s="46">
        <f>IF(+DropINTable!AH70=0,DropINTable!AI70,DropINTable!AH70)</f>
        <v>798.74515060489193</v>
      </c>
      <c r="K89" s="46">
        <f>IF(+DropINTable!AI70=0,DropINTable!AJ70,DropINTable!AI70)</f>
        <v>872.25876457480661</v>
      </c>
      <c r="L89" s="46">
        <f>IF(+DropINTable!AJ70=0,DropINTable!AK70,DropINTable!AJ70)</f>
        <v>954.06214617049841</v>
      </c>
      <c r="M89" s="46">
        <f>IF(+DropINTable!AK70=0,DropINTable!AL70,DropINTable!AK70)</f>
        <v>1002.1398922061319</v>
      </c>
      <c r="N89" s="46">
        <f>IF(+DropINTable!AL70=0,DropINTable!AM70,DropINTable!AL70)</f>
        <v>1067.741819764015</v>
      </c>
      <c r="O89" s="46">
        <f>IF(+DropINTable!AM70=0,DropINTable!AN70,DropINTable!AM70)</f>
        <v>1183.5221788677172</v>
      </c>
      <c r="P89" s="46">
        <f>IF(+DropINTable!AN70=0,DropINTable!AO70,DropINTable!AN70)</f>
        <v>1354.7420291956264</v>
      </c>
      <c r="Q89" s="46">
        <f>IF(+DropINTable!AO70=0,DropINTable!AP70,DropINTable!AO70)</f>
        <v>1369.4756748247287</v>
      </c>
      <c r="R89" s="46"/>
      <c r="S89" s="113"/>
      <c r="T89" s="113"/>
      <c r="U89" s="113"/>
      <c r="V89" s="113"/>
      <c r="W89" s="113"/>
      <c r="X89" s="113"/>
      <c r="Y89" s="113"/>
      <c r="Z89" s="113"/>
      <c r="AA89" s="113"/>
      <c r="AB89" s="113"/>
      <c r="AC89" s="113"/>
      <c r="AD89" s="113"/>
      <c r="AE89" s="113"/>
      <c r="AF89" s="113"/>
      <c r="AG89" s="113"/>
      <c r="AH89" s="113"/>
      <c r="AI89" s="113"/>
      <c r="AJ89" s="113"/>
      <c r="AK89" s="113"/>
      <c r="AL89" s="113"/>
      <c r="AM89" s="113"/>
      <c r="AN89" s="113"/>
    </row>
    <row r="90" spans="1:40">
      <c r="A90" t="s">
        <v>1103</v>
      </c>
      <c r="B90" s="86" t="s">
        <v>1104</v>
      </c>
      <c r="C90" t="str">
        <f t="shared" si="24"/>
        <v>Balance of VIC1+3</v>
      </c>
      <c r="D90" s="46">
        <f t="shared" ref="D90" si="28">+E90</f>
        <v>694.50912736932833</v>
      </c>
      <c r="E90" s="46">
        <f>IF(+DropINTable!AC71=0,DropINTable!AD71,DropINTable!AC71)</f>
        <v>694.50912736932833</v>
      </c>
      <c r="F90" s="46">
        <f>IF(+DropINTable!AD71=0,DropINTable!AE71,DropINTable!AD71)</f>
        <v>694.50912736932833</v>
      </c>
      <c r="G90" s="46">
        <f>IF(+DropINTable!AE71=0,DropINTable!AF71,DropINTable!AE71)</f>
        <v>719.171471954921</v>
      </c>
      <c r="H90" s="46">
        <f>IF(+DropINTable!AF71=0,DropINTable!AG71,DropINTable!AF71)</f>
        <v>759.54397852518184</v>
      </c>
      <c r="I90" s="46">
        <f>IF(+DropINTable!AG71=0,DropINTable!AH71,DropINTable!AG71)</f>
        <v>821.99813974407209</v>
      </c>
      <c r="J90" s="46">
        <f>IF(+DropINTable!AH71=0,DropINTable!AI71,DropINTable!AH71)</f>
        <v>908.59239759003242</v>
      </c>
      <c r="K90" s="46">
        <f>IF(+DropINTable!AI71=0,DropINTable!AJ71,DropINTable!AI71)</f>
        <v>982.0006891385068</v>
      </c>
      <c r="L90" s="46">
        <f>IF(+DropINTable!AJ71=0,DropINTable!AK71,DropINTable!AJ71)</f>
        <v>1063.6868771906557</v>
      </c>
      <c r="M90" s="46">
        <f>IF(+DropINTable!AK71=0,DropINTable!AL71,DropINTable!AK71)</f>
        <v>1111.6957435647232</v>
      </c>
      <c r="N90" s="46">
        <f>IF(+DropINTable!AL71=0,DropINTable!AM71,DropINTable!AL71)</f>
        <v>1177.2036869392691</v>
      </c>
      <c r="O90" s="46">
        <f>IF(+DropINTable!AM71=0,DropINTable!AN71,DropINTable!AM71)</f>
        <v>1292.8181717592738</v>
      </c>
      <c r="P90" s="46">
        <f>IF(+DropINTable!AN71=0,DropINTable!AO71,DropINTable!AN71)</f>
        <v>1463.7927175988114</v>
      </c>
      <c r="Q90" s="46">
        <f>IF(+DropINTable!AO71=0,DropINTable!AP71,DropINTable!AO71)</f>
        <v>1478.5052536893443</v>
      </c>
      <c r="S90" s="113"/>
      <c r="T90" s="113"/>
      <c r="U90" s="113"/>
      <c r="V90" s="113"/>
      <c r="W90" s="113"/>
      <c r="X90" s="113"/>
      <c r="Y90" s="113"/>
      <c r="Z90" s="113"/>
      <c r="AA90" s="113"/>
      <c r="AB90" s="113"/>
      <c r="AC90" s="113"/>
      <c r="AD90" s="113"/>
      <c r="AE90" s="113"/>
      <c r="AF90" s="113"/>
      <c r="AG90" s="113"/>
      <c r="AH90" s="113"/>
      <c r="AI90" s="113"/>
      <c r="AJ90" s="113"/>
      <c r="AK90" s="113"/>
      <c r="AL90" s="113"/>
      <c r="AM90" s="113"/>
      <c r="AN90" s="113"/>
    </row>
    <row r="91" spans="1:40">
      <c r="B91" s="86" t="s">
        <v>1105</v>
      </c>
      <c r="C91" t="str">
        <f t="shared" ref="C91:C93" si="29">+CONCATENATE(A$78,B91)</f>
        <v>Balance of VIC1+4</v>
      </c>
      <c r="D91" s="46">
        <f>+D90+Per_child_accounting!AC$52</f>
        <v>791.49866857794132</v>
      </c>
      <c r="E91" s="46">
        <f>+E90+Per_child_accounting!AC$52</f>
        <v>791.49866857794132</v>
      </c>
      <c r="F91" s="46">
        <f>+F90+Per_child_accounting!AD$52</f>
        <v>791.40065626720548</v>
      </c>
      <c r="G91" s="46">
        <f>+G90+Per_child_accounting!AE$52</f>
        <v>815.89765270716612</v>
      </c>
      <c r="H91" s="46">
        <f>+H90+Per_child_accounting!AF$52</f>
        <v>855.99948051236083</v>
      </c>
      <c r="I91" s="46">
        <f>+I90+Per_child_accounting!AG$52</f>
        <v>918.03492086290453</v>
      </c>
      <c r="J91" s="46">
        <f>+J90+Per_child_accounting!AH$52</f>
        <v>1004.0486076587619</v>
      </c>
      <c r="K91" s="46">
        <f>+K90+Per_child_accounting!AI$52</f>
        <v>1076.9647337349277</v>
      </c>
      <c r="L91" s="46">
        <f>+L90+Per_child_accounting!AJ$52</f>
        <v>1158.1032564188495</v>
      </c>
      <c r="M91" s="46">
        <f>+M90+Per_child_accounting!AK$52</f>
        <v>1205.7902463545531</v>
      </c>
      <c r="N91" s="46">
        <f>+N90+Per_child_accounting!AL$52</f>
        <v>1270.8589929660802</v>
      </c>
      <c r="O91" s="46">
        <f>+O90+Per_child_accounting!AM$52</f>
        <v>1385.6983433279574</v>
      </c>
      <c r="P91" s="46">
        <f>+P90+Per_child_accounting!AN$52</f>
        <v>1555.5265898133939</v>
      </c>
      <c r="Q91" s="46">
        <f>+Q90+Per_child_accounting!AO$52</f>
        <v>1570.1404865533862</v>
      </c>
      <c r="S91" s="113"/>
      <c r="T91" s="113"/>
      <c r="U91" s="113"/>
      <c r="V91" s="113"/>
      <c r="W91" s="113"/>
      <c r="X91" s="113"/>
      <c r="Y91" s="113"/>
      <c r="Z91" s="113"/>
      <c r="AA91" s="113"/>
      <c r="AB91" s="113"/>
      <c r="AC91" s="113"/>
      <c r="AD91" s="113"/>
      <c r="AE91" s="113"/>
      <c r="AF91" s="113"/>
      <c r="AG91" s="113"/>
      <c r="AH91" s="113"/>
      <c r="AI91" s="113"/>
      <c r="AJ91" s="113"/>
      <c r="AK91" s="113"/>
      <c r="AL91" s="113"/>
      <c r="AM91" s="113"/>
      <c r="AN91" s="113"/>
    </row>
    <row r="92" spans="1:40">
      <c r="B92" s="86" t="s">
        <v>1106</v>
      </c>
      <c r="C92" t="str">
        <f t="shared" si="29"/>
        <v>Balance of VIC1+5</v>
      </c>
      <c r="D92" s="46">
        <f>+D91+Per_child_accounting!AC$52</f>
        <v>888.48820978655431</v>
      </c>
      <c r="E92" s="46">
        <f>+E91+Per_child_accounting!AC$52</f>
        <v>888.48820978655431</v>
      </c>
      <c r="F92" s="46">
        <f>+F91+Per_child_accounting!AD$52</f>
        <v>888.29218516508263</v>
      </c>
      <c r="G92" s="46">
        <f>+G91+Per_child_accounting!AE$52</f>
        <v>912.62383345941134</v>
      </c>
      <c r="H92" s="46">
        <f>+H91+Per_child_accounting!AF$52</f>
        <v>952.45498249953971</v>
      </c>
      <c r="I92" s="46">
        <f>+I91+Per_child_accounting!AG$52</f>
        <v>1014.0717019817369</v>
      </c>
      <c r="J92" s="46">
        <f>+J91+Per_child_accounting!AH$52</f>
        <v>1099.5048177274912</v>
      </c>
      <c r="K92" s="46">
        <f>+K91+Per_child_accounting!AI$52</f>
        <v>1171.9287783313484</v>
      </c>
      <c r="L92" s="46">
        <f>+L91+Per_child_accounting!AJ$52</f>
        <v>1252.5196356470433</v>
      </c>
      <c r="M92" s="46">
        <f>+M91+Per_child_accounting!AK$52</f>
        <v>1299.884749144383</v>
      </c>
      <c r="N92" s="46">
        <f>+N91+Per_child_accounting!AL$52</f>
        <v>1364.5142989928913</v>
      </c>
      <c r="O92" s="46">
        <f>+O91+Per_child_accounting!AM$52</f>
        <v>1478.5785148966411</v>
      </c>
      <c r="P92" s="46">
        <f>+P91+Per_child_accounting!AN$52</f>
        <v>1647.2604620279765</v>
      </c>
      <c r="Q92" s="46">
        <f>+Q91+Per_child_accounting!AO$52</f>
        <v>1661.775719417428</v>
      </c>
      <c r="S92" s="113"/>
      <c r="T92" s="113"/>
      <c r="U92" s="113"/>
      <c r="V92" s="113"/>
      <c r="W92" s="113"/>
      <c r="X92" s="113"/>
      <c r="Y92" s="113"/>
      <c r="Z92" s="113"/>
      <c r="AA92" s="113"/>
      <c r="AB92" s="113"/>
      <c r="AC92" s="113"/>
      <c r="AD92" s="113"/>
      <c r="AE92" s="113"/>
      <c r="AF92" s="113"/>
      <c r="AG92" s="113"/>
      <c r="AH92" s="113"/>
      <c r="AI92" s="113"/>
      <c r="AJ92" s="113"/>
      <c r="AK92" s="113"/>
      <c r="AL92" s="113"/>
      <c r="AM92" s="113"/>
      <c r="AN92" s="113"/>
    </row>
    <row r="93" spans="1:40">
      <c r="B93" s="86" t="s">
        <v>1107</v>
      </c>
      <c r="C93" t="str">
        <f t="shared" si="29"/>
        <v>Balance of VIC1+6</v>
      </c>
      <c r="D93" s="46">
        <f>+D92+Per_child_accounting!AC$52</f>
        <v>985.4777509951673</v>
      </c>
      <c r="E93" s="46">
        <f>+E92+Per_child_accounting!AC$52</f>
        <v>985.4777509951673</v>
      </c>
      <c r="F93" s="46">
        <f>+F92+Per_child_accounting!AD$52</f>
        <v>985.18371406295978</v>
      </c>
      <c r="G93" s="46">
        <f>+G92+Per_child_accounting!AE$52</f>
        <v>1009.3500142116566</v>
      </c>
      <c r="H93" s="46">
        <f>+H92+Per_child_accounting!AF$52</f>
        <v>1048.9104844867186</v>
      </c>
      <c r="I93" s="46">
        <f>+I92+Per_child_accounting!AG$52</f>
        <v>1110.1084831005692</v>
      </c>
      <c r="J93" s="46">
        <f>+J92+Per_child_accounting!AH$52</f>
        <v>1194.9610277962206</v>
      </c>
      <c r="K93" s="46">
        <f>+K92+Per_child_accounting!AI$52</f>
        <v>1266.8928229277694</v>
      </c>
      <c r="L93" s="46">
        <f>+L92+Per_child_accounting!AJ$52</f>
        <v>1346.9360148752371</v>
      </c>
      <c r="M93" s="46">
        <f>+M92+Per_child_accounting!AK$52</f>
        <v>1393.9792519342129</v>
      </c>
      <c r="N93" s="46">
        <f>+N92+Per_child_accounting!AL$52</f>
        <v>1458.1696050197024</v>
      </c>
      <c r="O93" s="46">
        <f>+O92+Per_child_accounting!AM$52</f>
        <v>1571.4586864653247</v>
      </c>
      <c r="P93" s="46">
        <f>+P92+Per_child_accounting!AN$52</f>
        <v>1738.994334242559</v>
      </c>
      <c r="Q93" s="46">
        <f>+Q92+Per_child_accounting!AO$52</f>
        <v>1753.4109522814699</v>
      </c>
      <c r="R93" s="46"/>
      <c r="S93" s="113"/>
      <c r="T93" s="113"/>
      <c r="U93" s="113"/>
      <c r="V93" s="113"/>
      <c r="W93" s="113"/>
      <c r="X93" s="113"/>
      <c r="Y93" s="113"/>
      <c r="Z93" s="113"/>
      <c r="AA93" s="113"/>
      <c r="AB93" s="113"/>
      <c r="AC93" s="113"/>
      <c r="AD93" s="113"/>
      <c r="AE93" s="113"/>
      <c r="AF93" s="113"/>
      <c r="AG93" s="113"/>
      <c r="AH93" s="113"/>
      <c r="AI93" s="113"/>
      <c r="AJ93" s="113"/>
      <c r="AK93" s="113"/>
      <c r="AL93" s="113"/>
      <c r="AM93" s="113"/>
      <c r="AN93" s="113"/>
    </row>
    <row r="94" spans="1:40">
      <c r="D94" s="46"/>
      <c r="E94" s="46"/>
      <c r="F94" s="46"/>
      <c r="G94" s="46"/>
      <c r="H94" s="46"/>
      <c r="I94" s="46"/>
      <c r="J94" s="46"/>
      <c r="K94" s="46"/>
      <c r="L94" s="46"/>
      <c r="M94" s="46"/>
      <c r="N94" s="46"/>
      <c r="O94" s="46"/>
      <c r="P94" s="46"/>
      <c r="Q94" s="46"/>
      <c r="R94" s="46"/>
      <c r="S94" s="113"/>
      <c r="T94" s="113"/>
      <c r="U94" s="113"/>
      <c r="V94" s="113"/>
      <c r="W94" s="113"/>
      <c r="X94" s="113"/>
      <c r="Y94" s="113"/>
      <c r="Z94" s="113"/>
      <c r="AA94" s="113"/>
      <c r="AB94" s="113"/>
      <c r="AC94" s="113"/>
      <c r="AD94" s="113"/>
      <c r="AE94" s="113"/>
      <c r="AF94" s="113"/>
      <c r="AG94" s="113"/>
      <c r="AH94" s="113"/>
      <c r="AI94" s="113"/>
      <c r="AJ94" s="113"/>
      <c r="AK94" s="113"/>
      <c r="AL94" s="113"/>
      <c r="AM94" s="113"/>
      <c r="AN94" s="113"/>
    </row>
    <row r="95" spans="1:40" ht="28.5">
      <c r="A95" s="369" t="s">
        <v>230</v>
      </c>
      <c r="B95" s="369"/>
      <c r="C95" s="369"/>
      <c r="D95" s="46"/>
      <c r="E95" s="46"/>
      <c r="F95" s="46"/>
      <c r="G95" s="46"/>
      <c r="H95" s="46"/>
      <c r="I95" s="46"/>
      <c r="J95" s="46"/>
      <c r="K95" s="46"/>
      <c r="L95" s="46"/>
      <c r="M95" s="46"/>
      <c r="N95" s="46"/>
      <c r="O95" s="46"/>
      <c r="P95" s="46"/>
      <c r="Q95" s="46"/>
      <c r="R95" s="46"/>
      <c r="S95" s="113"/>
      <c r="T95" s="113"/>
      <c r="U95" s="113"/>
      <c r="V95" s="113"/>
      <c r="W95" s="113"/>
      <c r="X95" s="113"/>
      <c r="Y95" s="113"/>
      <c r="Z95" s="113"/>
      <c r="AA95" s="113"/>
      <c r="AB95" s="113"/>
      <c r="AC95" s="113"/>
      <c r="AD95" s="113"/>
      <c r="AE95" s="113"/>
      <c r="AF95" s="113"/>
      <c r="AG95" s="113"/>
      <c r="AH95" s="113"/>
      <c r="AI95" s="113"/>
      <c r="AJ95" s="113"/>
      <c r="AK95" s="113"/>
      <c r="AL95" s="113"/>
      <c r="AM95" s="113"/>
      <c r="AN95" s="113"/>
    </row>
    <row r="96" spans="1:40">
      <c r="A96" t="s">
        <v>1086</v>
      </c>
      <c r="B96" s="86" t="s">
        <v>1087</v>
      </c>
      <c r="C96" t="str">
        <f>+CONCATENATE(A$95,B96)</f>
        <v>Brisbane2+0</v>
      </c>
      <c r="D96" s="46">
        <f>IF(+DropINTable!AB75=0,DropINTable!AC75,DropINTable!AB75)</f>
        <v>578.09267713550048</v>
      </c>
      <c r="E96" s="46">
        <f>IF(+DropINTable!AC75=0,DropINTable!AD75,DropINTable!AC75)</f>
        <v>578.09267713550048</v>
      </c>
      <c r="F96" s="46">
        <f>IF(+DropINTable!AD75=0,DropINTable!AE75,DropINTable!AD75)</f>
        <v>592.82612507848228</v>
      </c>
      <c r="G96" s="46">
        <f>IF(+DropINTable!AE75=0,DropINTable!AF75,DropINTable!AE75)</f>
        <v>617.68171530793848</v>
      </c>
      <c r="H96" s="46">
        <f>IF(+DropINTable!AF75=0,DropINTable!AG75,DropINTable!AF75)</f>
        <v>658.37055436806486</v>
      </c>
      <c r="I96" s="46">
        <f>IF(+DropINTable!AG75=0,DropINTable!AH75,DropINTable!AG75)</f>
        <v>721.31407964580092</v>
      </c>
      <c r="J96" s="46">
        <f>IF(+DropINTable!AH75=0,DropINTable!AI75,DropINTable!AH75)</f>
        <v>808.58684850825432</v>
      </c>
      <c r="K96" s="46">
        <f>IF(+DropINTable!AI75=0,DropINTable!AJ75,DropINTable!AI75)</f>
        <v>882.57033465759343</v>
      </c>
      <c r="L96" s="46">
        <f>IF(+DropINTable!AJ75=0,DropINTable!AK75,DropINTable!AJ75)</f>
        <v>964.89656992373841</v>
      </c>
      <c r="M96" s="46">
        <f>IF(+DropINTable!AK75=0,DropINTable!AL75,DropINTable!AK75)</f>
        <v>1013.2816111312</v>
      </c>
      <c r="N96" s="46">
        <f>IF(+DropINTable!AL75=0,DropINTable!AM75,DropINTable!AL75)</f>
        <v>1079.3028374097951</v>
      </c>
      <c r="O96" s="46">
        <f>IF(+DropINTable!AM75=0,DropINTable!AN75,DropINTable!AM75)</f>
        <v>1195.8232186691064</v>
      </c>
      <c r="P96" s="46">
        <f>IF(+DropINTable!AN75=0,DropINTable!AO75,DropINTable!AN75)</f>
        <v>1368.1374453088447</v>
      </c>
      <c r="Q96" s="46">
        <f>IF(+DropINTable!AO75=0,DropINTable!AP75,DropINTable!AO75)</f>
        <v>1382.965262885099</v>
      </c>
      <c r="R96" s="46"/>
      <c r="S96" s="113"/>
      <c r="T96" s="113"/>
      <c r="U96" s="113"/>
      <c r="V96" s="113"/>
      <c r="W96" s="113"/>
      <c r="X96" s="113"/>
      <c r="Y96" s="113"/>
      <c r="Z96" s="113"/>
      <c r="AA96" s="113"/>
      <c r="AB96" s="113"/>
      <c r="AC96" s="113"/>
      <c r="AD96" s="113"/>
      <c r="AE96" s="113"/>
      <c r="AF96" s="113"/>
      <c r="AG96" s="113"/>
      <c r="AH96" s="113"/>
      <c r="AI96" s="113"/>
      <c r="AJ96" s="113"/>
      <c r="AK96" s="113"/>
      <c r="AL96" s="113"/>
      <c r="AM96" s="113"/>
      <c r="AN96" s="113"/>
    </row>
    <row r="97" spans="1:40">
      <c r="A97" t="s">
        <v>1088</v>
      </c>
      <c r="B97" s="86" t="s">
        <v>1089</v>
      </c>
      <c r="C97" t="str">
        <f t="shared" ref="C97:C107" si="30">+CONCATENATE(A$95,B97)</f>
        <v>Brisbane2+1</v>
      </c>
      <c r="D97" s="46">
        <f t="shared" ref="D97:D98" si="31">+E97</f>
        <v>682.18892025312095</v>
      </c>
      <c r="E97" s="46">
        <f>IF(+DropINTable!AC76=0,DropINTable!AD76,DropINTable!AC76)</f>
        <v>682.18892025312095</v>
      </c>
      <c r="F97" s="46">
        <f>IF(+DropINTable!AD76=0,DropINTable!AE76,DropINTable!AD76)</f>
        <v>682.18892025312095</v>
      </c>
      <c r="G97" s="46">
        <f>IF(+DropINTable!AE76=0,DropINTable!AF76,DropINTable!AE76)</f>
        <v>707.1507415483735</v>
      </c>
      <c r="H97" s="46">
        <f>IF(+DropINTable!AF76=0,DropINTable!AG76,DropINTable!AF76)</f>
        <v>748.01348087209863</v>
      </c>
      <c r="I97" s="46">
        <f>IF(+DropINTable!AG76=0,DropINTable!AH76,DropINTable!AG76)</f>
        <v>811.22601908335082</v>
      </c>
      <c r="J97" s="46">
        <f>IF(+DropINTable!AH76=0,DropINTable!AI76,DropINTable!AH76)</f>
        <v>898.87178220148553</v>
      </c>
      <c r="K97" s="46">
        <f>IF(+DropINTable!AI76=0,DropINTable!AJ76,DropINTable!AI76)</f>
        <v>973.17146643061938</v>
      </c>
      <c r="L97" s="46">
        <f>IF(+DropINTable!AJ76=0,DropINTable!AK76,DropINTable!AJ76)</f>
        <v>1055.8495558028512</v>
      </c>
      <c r="M97" s="46">
        <f>IF(+DropINTable!AK76=0,DropINTable!AL76,DropINTable!AK76)</f>
        <v>1104.4413908854892</v>
      </c>
      <c r="N97" s="46">
        <f>IF(+DropINTable!AL76=0,DropINTable!AM76,DropINTable!AL76)</f>
        <v>1170.7447866917851</v>
      </c>
      <c r="O97" s="46">
        <f>IF(+DropINTable!AM76=0,DropINTable!AN76,DropINTable!AM76)</f>
        <v>1287.763160465832</v>
      </c>
      <c r="P97" s="46">
        <f>IF(+DropINTable!AN76=0,DropINTable!AO76,DropINTable!AN76)</f>
        <v>1460.8138409606474</v>
      </c>
      <c r="Q97" s="46">
        <f>IF(+DropINTable!AO76=0,DropINTable!AP76,DropINTable!AO76)</f>
        <v>1475.705030070814</v>
      </c>
      <c r="R97" s="46"/>
      <c r="S97" s="113"/>
      <c r="T97" s="113"/>
      <c r="U97" s="113"/>
      <c r="V97" s="113"/>
      <c r="W97" s="113"/>
      <c r="X97" s="113"/>
      <c r="Y97" s="113"/>
      <c r="Z97" s="113"/>
      <c r="AA97" s="113"/>
      <c r="AB97" s="113"/>
      <c r="AC97" s="113"/>
      <c r="AD97" s="113"/>
      <c r="AE97" s="113"/>
      <c r="AF97" s="113"/>
      <c r="AG97" s="113"/>
      <c r="AH97" s="113"/>
      <c r="AI97" s="113"/>
      <c r="AJ97" s="113"/>
      <c r="AK97" s="113"/>
      <c r="AL97" s="113"/>
      <c r="AM97" s="113"/>
      <c r="AN97" s="113"/>
    </row>
    <row r="98" spans="1:40">
      <c r="A98" t="s">
        <v>1090</v>
      </c>
      <c r="B98" s="86" t="s">
        <v>1091</v>
      </c>
      <c r="C98" t="str">
        <f t="shared" si="30"/>
        <v>Brisbane2+2</v>
      </c>
      <c r="D98" s="46">
        <f t="shared" si="31"/>
        <v>748.42362379914607</v>
      </c>
      <c r="E98" s="46">
        <f>IF(+DropINTable!AC77=0,DropINTable!AD77,DropINTable!AC77)</f>
        <v>748.42362379914607</v>
      </c>
      <c r="F98" s="46">
        <f>IF(+DropINTable!AD77=0,DropINTable!AE77,DropINTable!AD77)</f>
        <v>748.42362379914607</v>
      </c>
      <c r="G98" s="46">
        <f>IF(+DropINTable!AE77=0,DropINTable!AF77,DropINTable!AE77)</f>
        <v>773.22248330790922</v>
      </c>
      <c r="H98" s="46">
        <f>IF(+DropINTable!AF77=0,DropINTable!AG77,DropINTable!AF77)</f>
        <v>813.81845266015159</v>
      </c>
      <c r="I98" s="46">
        <f>IF(+DropINTable!AG77=0,DropINTable!AH77,DropINTable!AG77)</f>
        <v>876.61831333113673</v>
      </c>
      <c r="J98" s="46">
        <f>IF(+DropINTable!AH77=0,DropINTable!AI77,DropINTable!AH77)</f>
        <v>963.69188813211542</v>
      </c>
      <c r="K98" s="46">
        <f>IF(+DropINTable!AI77=0,DropINTable!AJ77,DropINTable!AI77)</f>
        <v>1037.506512055767</v>
      </c>
      <c r="L98" s="46">
        <f>IF(+DropINTable!AJ77=0,DropINTable!AK77,DropINTable!AJ77)</f>
        <v>1119.6448417194899</v>
      </c>
      <c r="M98" s="46">
        <f>IF(+DropINTable!AK77=0,DropINTable!AL77,DropINTable!AK77)</f>
        <v>1167.9194486360395</v>
      </c>
      <c r="N98" s="46">
        <f>IF(+DropINTable!AL77=0,DropINTable!AM77,DropINTable!AL77)</f>
        <v>1233.789986521027</v>
      </c>
      <c r="O98" s="46">
        <f>IF(+DropINTable!AM77=0,DropINTable!AN77,DropINTable!AM77)</f>
        <v>1350.0444150690496</v>
      </c>
      <c r="P98" s="46">
        <f>IF(+DropINTable!AN77=0,DropINTable!AO77,DropINTable!AN77)</f>
        <v>1521.9653468122699</v>
      </c>
      <c r="Q98" s="46">
        <f>IF(+DropINTable!AO77=0,DropINTable!AP77,DropINTable!AO77)</f>
        <v>1536.7593205710284</v>
      </c>
      <c r="R98" s="46"/>
      <c r="S98" s="113"/>
      <c r="T98" s="113"/>
      <c r="U98" s="113"/>
      <c r="V98" s="113"/>
      <c r="W98" s="113"/>
      <c r="X98" s="113"/>
      <c r="Y98" s="113"/>
      <c r="Z98" s="113"/>
      <c r="AA98" s="113"/>
      <c r="AB98" s="113"/>
      <c r="AC98" s="113"/>
      <c r="AD98" s="113"/>
      <c r="AE98" s="113"/>
      <c r="AF98" s="113"/>
      <c r="AG98" s="113"/>
      <c r="AH98" s="113"/>
      <c r="AI98" s="113"/>
      <c r="AJ98" s="113"/>
      <c r="AK98" s="113"/>
      <c r="AL98" s="113"/>
      <c r="AM98" s="113"/>
      <c r="AN98" s="113"/>
    </row>
    <row r="99" spans="1:40">
      <c r="A99" t="s">
        <v>1092</v>
      </c>
      <c r="B99" s="86" t="s">
        <v>1093</v>
      </c>
      <c r="C99" t="str">
        <f t="shared" si="30"/>
        <v>Brisbane2+3</v>
      </c>
      <c r="D99" s="46">
        <f t="shared" ref="D99" si="32">+F99</f>
        <v>840.52004257487988</v>
      </c>
      <c r="E99" s="46">
        <f>+F99</f>
        <v>840.52004257487988</v>
      </c>
      <c r="F99" s="46">
        <f>IF(+DropINTable!AD78=0,DropINTable!AE78,DropINTable!AD78)</f>
        <v>840.52004257487988</v>
      </c>
      <c r="G99" s="46">
        <f>IF(+DropINTable!AE78=0,DropINTable!AF78,DropINTable!AE78)</f>
        <v>840.52004257487988</v>
      </c>
      <c r="H99" s="46">
        <f>IF(+DropINTable!AF78=0,DropINTable!AG78,DropINTable!AF78)</f>
        <v>881.10126761962499</v>
      </c>
      <c r="I99" s="46">
        <f>IF(+DropINTable!AG78=0,DropINTable!AH78,DropINTable!AG78)</f>
        <v>943.87831716062192</v>
      </c>
      <c r="J99" s="46">
        <f>IF(+DropINTable!AH78=0,DropINTable!AI78,DropINTable!AH78)</f>
        <v>1030.9202624973307</v>
      </c>
      <c r="K99" s="46">
        <f>IF(+DropINTable!AI78=0,DropINTable!AJ78,DropINTable!AI78)</f>
        <v>1104.70807460178</v>
      </c>
      <c r="L99" s="46">
        <f>IF(+DropINTable!AJ78=0,DropINTable!AK78,DropINTable!AJ78)</f>
        <v>1186.8165712585296</v>
      </c>
      <c r="M99" s="46">
        <f>IF(+DropINTable!AK78=0,DropINTable!AL78,DropINTable!AK78)</f>
        <v>1235.073639181702</v>
      </c>
      <c r="N99" s="46">
        <f>IF(+DropINTable!AL78=0,DropINTable!AM78,DropINTable!AL78)</f>
        <v>1300.92025382255</v>
      </c>
      <c r="O99" s="46">
        <f>IF(+DropINTable!AM78=0,DropINTable!AN78,DropINTable!AM78)</f>
        <v>1417.1324545748894</v>
      </c>
      <c r="P99" s="46">
        <f>IF(+DropINTable!AN78=0,DropINTable!AO78,DropINTable!AN78)</f>
        <v>1588.9909394673593</v>
      </c>
      <c r="Q99" s="46">
        <f>IF(+DropINTable!AO78=0,DropINTable!AP78,DropINTable!AO78)</f>
        <v>1603.7795397453194</v>
      </c>
      <c r="R99" s="46"/>
      <c r="S99" s="113"/>
      <c r="T99" s="113"/>
      <c r="U99" s="113"/>
      <c r="V99" s="113"/>
      <c r="W99" s="113"/>
      <c r="X99" s="113"/>
      <c r="Y99" s="113"/>
      <c r="Z99" s="113"/>
      <c r="AA99" s="113"/>
      <c r="AB99" s="113"/>
      <c r="AC99" s="113"/>
      <c r="AD99" s="113"/>
      <c r="AE99" s="113"/>
      <c r="AF99" s="113"/>
      <c r="AG99" s="113"/>
      <c r="AH99" s="113"/>
      <c r="AI99" s="113"/>
      <c r="AJ99" s="113"/>
      <c r="AK99" s="113"/>
      <c r="AL99" s="113"/>
      <c r="AM99" s="113"/>
      <c r="AN99" s="113"/>
    </row>
    <row r="100" spans="1:40">
      <c r="B100" s="86" t="s">
        <v>1094</v>
      </c>
      <c r="C100" t="str">
        <f t="shared" ref="C100:C102" si="33">+CONCATENATE(A$95,B100)</f>
        <v>Brisbane2+4</v>
      </c>
      <c r="D100" s="46">
        <f>+D99+Per_child_accounting!$AD$57</f>
        <v>929.88283774951856</v>
      </c>
      <c r="E100" s="46">
        <f>+E99+Per_child_accounting!$AD$57</f>
        <v>929.88283774951856</v>
      </c>
      <c r="F100" s="46">
        <f>+F99+Per_child_accounting!AD$57</f>
        <v>929.88283774951856</v>
      </c>
      <c r="G100" s="46">
        <f>+G99+Per_child_accounting!AE$57</f>
        <v>929.98906881531491</v>
      </c>
      <c r="H100" s="46">
        <f>+H99+Per_child_accounting!AF$57</f>
        <v>970.74419412365876</v>
      </c>
      <c r="I100" s="46">
        <f>+I99+Per_child_accounting!AG$57</f>
        <v>1033.7902565981717</v>
      </c>
      <c r="J100" s="46">
        <f>+J99+Per_child_accounting!AH$57</f>
        <v>1121.2051961905618</v>
      </c>
      <c r="K100" s="46">
        <f>+K99+Per_child_accounting!AI$57</f>
        <v>1195.3092063748059</v>
      </c>
      <c r="L100" s="46">
        <f>+L99+Per_child_accounting!AJ$57</f>
        <v>1277.7695571376426</v>
      </c>
      <c r="M100" s="46">
        <f>+M99+Per_child_accounting!AK$57</f>
        <v>1326.2334189359913</v>
      </c>
      <c r="N100" s="46">
        <f>+N99+Per_child_accounting!AL$57</f>
        <v>1392.36220310454</v>
      </c>
      <c r="O100" s="46">
        <f>+O99+Per_child_accounting!AM$57</f>
        <v>1509.072396371615</v>
      </c>
      <c r="P100" s="46">
        <f>+P99+Per_child_accounting!AN$57</f>
        <v>1681.6673351191621</v>
      </c>
      <c r="Q100" s="46">
        <f>+Q99+Per_child_accounting!AO$57</f>
        <v>1696.5193069310344</v>
      </c>
      <c r="R100" s="46"/>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row>
    <row r="101" spans="1:40">
      <c r="B101" s="86" t="s">
        <v>1095</v>
      </c>
      <c r="C101" t="str">
        <f t="shared" si="33"/>
        <v>Brisbane2+5</v>
      </c>
      <c r="D101" s="46">
        <f>+D100+Per_child_accounting!$AD$57</f>
        <v>1019.2456329241572</v>
      </c>
      <c r="E101" s="46">
        <f>+E100+Per_child_accounting!$AD$57</f>
        <v>1019.2456329241572</v>
      </c>
      <c r="F101" s="46">
        <f>+F100+Per_child_accounting!$AD$57</f>
        <v>1019.2456329241572</v>
      </c>
      <c r="G101" s="46">
        <f>+G100+Per_child_accounting!AE$57</f>
        <v>1019.4580950557499</v>
      </c>
      <c r="H101" s="46">
        <f>+H100+Per_child_accounting!AF$57</f>
        <v>1060.3871206276926</v>
      </c>
      <c r="I101" s="46">
        <f>+I100+Per_child_accounting!AG$57</f>
        <v>1123.7021960357215</v>
      </c>
      <c r="J101" s="46">
        <f>+J100+Per_child_accounting!AH$57</f>
        <v>1211.4901298837931</v>
      </c>
      <c r="K101" s="46">
        <f>+K100+Per_child_accounting!AI$57</f>
        <v>1285.9103381478317</v>
      </c>
      <c r="L101" s="46">
        <f>+L100+Per_child_accounting!AJ$57</f>
        <v>1368.7225430167555</v>
      </c>
      <c r="M101" s="46">
        <f>+M100+Per_child_accounting!AK$57</f>
        <v>1417.3931986902805</v>
      </c>
      <c r="N101" s="46">
        <f>+N100+Per_child_accounting!AL$57</f>
        <v>1483.8041523865299</v>
      </c>
      <c r="O101" s="46">
        <f>+O100+Per_child_accounting!AM$57</f>
        <v>1601.0123381683406</v>
      </c>
      <c r="P101" s="46">
        <f>+P100+Per_child_accounting!AN$57</f>
        <v>1774.3437307709648</v>
      </c>
      <c r="Q101" s="46">
        <f>+Q100+Per_child_accounting!AO$57</f>
        <v>1789.2590741167494</v>
      </c>
      <c r="R101" s="46"/>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row>
    <row r="102" spans="1:40">
      <c r="B102" s="86" t="s">
        <v>1096</v>
      </c>
      <c r="C102" t="str">
        <f t="shared" si="33"/>
        <v>Brisbane2+6</v>
      </c>
      <c r="D102" s="46">
        <f>+D101+Per_child_accounting!$AD$57</f>
        <v>1108.6084280987959</v>
      </c>
      <c r="E102" s="46">
        <f>+E101+Per_child_accounting!$AD$57</f>
        <v>1108.6084280987959</v>
      </c>
      <c r="F102" s="46">
        <f>+F101+Per_child_accounting!$AD$57</f>
        <v>1108.6084280987959</v>
      </c>
      <c r="G102" s="46">
        <f>+G101+Per_child_accounting!AE$57</f>
        <v>1108.9271212961849</v>
      </c>
      <c r="H102" s="46">
        <f>+H101+Per_child_accounting!AF$57</f>
        <v>1150.0300471317264</v>
      </c>
      <c r="I102" s="46">
        <f>+I101+Per_child_accounting!AG$57</f>
        <v>1213.6141354732713</v>
      </c>
      <c r="J102" s="46">
        <f>+J101+Per_child_accounting!AH$57</f>
        <v>1301.7750635770244</v>
      </c>
      <c r="K102" s="46">
        <f>+K101+Per_child_accounting!AI$57</f>
        <v>1376.5114699208575</v>
      </c>
      <c r="L102" s="46">
        <f>+L101+Per_child_accounting!AJ$57</f>
        <v>1459.6755288958684</v>
      </c>
      <c r="M102" s="46">
        <f>+M101+Per_child_accounting!AK$57</f>
        <v>1508.5529784445698</v>
      </c>
      <c r="N102" s="46">
        <f>+N101+Per_child_accounting!AL$57</f>
        <v>1575.2461016685199</v>
      </c>
      <c r="O102" s="46">
        <f>+O101+Per_child_accounting!AM$57</f>
        <v>1692.9522799650663</v>
      </c>
      <c r="P102" s="46">
        <f>+P101+Per_child_accounting!AN$57</f>
        <v>1867.0201264227676</v>
      </c>
      <c r="Q102" s="46">
        <f>+Q101+Per_child_accounting!AO$57</f>
        <v>1881.9988413024644</v>
      </c>
      <c r="R102" s="46"/>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row>
    <row r="103" spans="1:40">
      <c r="B103" s="86"/>
      <c r="D103" s="46"/>
      <c r="E103" s="46"/>
      <c r="F103" s="46"/>
      <c r="G103" s="46"/>
      <c r="H103" s="46"/>
      <c r="I103" s="46"/>
      <c r="J103" s="46"/>
      <c r="K103" s="46"/>
      <c r="L103" s="46"/>
      <c r="M103" s="46"/>
      <c r="N103" s="46"/>
      <c r="O103" s="46"/>
      <c r="P103" s="46"/>
      <c r="Q103" s="46"/>
      <c r="R103" s="46"/>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row>
    <row r="104" spans="1:40">
      <c r="A104" t="s">
        <v>1097</v>
      </c>
      <c r="B104" s="86" t="s">
        <v>1098</v>
      </c>
      <c r="C104" t="str">
        <f t="shared" si="30"/>
        <v>Brisbane1+0</v>
      </c>
      <c r="D104" s="46">
        <f>IF(+DropINTable!AB80=0,DropINTable!AC80,DropINTable!AB80)</f>
        <v>290.45779013383293</v>
      </c>
      <c r="E104" s="46">
        <f>IF(+DropINTable!AC80=0,DropINTable!AD80,DropINTable!AC80)</f>
        <v>305.86147228342168</v>
      </c>
      <c r="F104" s="46">
        <f>IF(+DropINTable!AD80=0,DropINTable!AE80,DropINTable!AD80)</f>
        <v>320.62033440735286</v>
      </c>
      <c r="G104" s="46">
        <f>IF(+DropINTable!AE80=0,DropINTable!AF80,DropINTable!AE80)</f>
        <v>345.5187987465759</v>
      </c>
      <c r="H104" s="46">
        <f>IF(+DropINTable!AF80=0,DropINTable!AG80,DropINTable!AF80)</f>
        <v>386.27782226932663</v>
      </c>
      <c r="I104" s="46">
        <f>IF(+DropINTable!AG80=0,DropINTable!AH80,DropINTable!AG80)</f>
        <v>449.32992070431465</v>
      </c>
      <c r="J104" s="46">
        <f>IF(+DropINTable!AH80=0,DropINTable!AI80,DropINTable!AH80)</f>
        <v>536.75322761269865</v>
      </c>
      <c r="K104" s="46">
        <f>IF(+DropINTable!AI80=0,DropINTable!AJ80,DropINTable!AI80)</f>
        <v>610.86432858205978</v>
      </c>
      <c r="L104" s="46">
        <f>IF(+DropINTable!AJ80=0,DropINTable!AK80,DropINTable!AJ80)</f>
        <v>693.33256977823714</v>
      </c>
      <c r="M104" s="46">
        <f>IF(+DropINTable!AK80=0,DropINTable!AL80,DropINTable!AK80)</f>
        <v>741.8010713998334</v>
      </c>
      <c r="N104" s="46">
        <f>IF(+DropINTable!AL80=0,DropINTable!AM80,DropINTable!AL80)</f>
        <v>807.93617979442604</v>
      </c>
      <c r="O104" s="46">
        <f>IF(+DropINTable!AM80=0,DropINTable!AN80,DropINTable!AM80)</f>
        <v>924.65754810595058</v>
      </c>
      <c r="P104" s="46">
        <f>IF(+DropINTable!AN80=0,DropINTable!AO80,DropINTable!AN80)</f>
        <v>1097.2690006933142</v>
      </c>
      <c r="Q104" s="46">
        <f>IF(+DropINTable!AO80=0,DropINTable!AP80,DropINTable!AO80)</f>
        <v>1112.1223978224782</v>
      </c>
      <c r="R104" s="46"/>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row>
    <row r="105" spans="1:40">
      <c r="A105" t="s">
        <v>1099</v>
      </c>
      <c r="B105" s="86" t="s">
        <v>1100</v>
      </c>
      <c r="C105" t="str">
        <f t="shared" si="30"/>
        <v>Brisbane1+1</v>
      </c>
      <c r="D105" s="46">
        <f>IF(+DropINTable!AB81=0,DropINTable!AC81,DropINTable!AB81)</f>
        <v>403.22747748994806</v>
      </c>
      <c r="E105" s="46">
        <f>IF(+DropINTable!AC81=0,DropINTable!AD81,DropINTable!AC81)</f>
        <v>403.22747748994806</v>
      </c>
      <c r="F105" s="46">
        <f>IF(+DropINTable!AD81=0,DropINTable!AE81,DropINTable!AD81)</f>
        <v>417.88832691808102</v>
      </c>
      <c r="G105" s="46">
        <f>IF(+DropINTable!AE81=0,DropINTable!AF81,DropINTable!AE81)</f>
        <v>442.62144213567109</v>
      </c>
      <c r="H105" s="46">
        <f>IF(+DropINTable!AF81=0,DropINTable!AG81,DropINTable!AF81)</f>
        <v>483.10979015037697</v>
      </c>
      <c r="I105" s="46">
        <f>IF(+DropINTable!AG81=0,DropINTable!AH81,DropINTable!AG81)</f>
        <v>545.74316404788976</v>
      </c>
      <c r="J105" s="46">
        <f>IF(+DropINTable!AH81=0,DropINTable!AI81,DropINTable!AH81)</f>
        <v>632.58590070181992</v>
      </c>
      <c r="K105" s="46">
        <f>IF(+DropINTable!AI81=0,DropINTable!AJ81,DropINTable!AI81)</f>
        <v>706.20483636630729</v>
      </c>
      <c r="L105" s="46">
        <f>IF(+DropINTable!AJ81=0,DropINTable!AK81,DropINTable!AJ81)</f>
        <v>788.12541215164629</v>
      </c>
      <c r="M105" s="46">
        <f>IF(+DropINTable!AK81=0,DropINTable!AL81,DropINTable!AK81)</f>
        <v>836.27203946410634</v>
      </c>
      <c r="N105" s="46">
        <f>IF(+DropINTable!AL81=0,DropINTable!AM81,DropINTable!AL81)</f>
        <v>901.9679503169333</v>
      </c>
      <c r="O105" s="46">
        <f>IF(+DropINTable!AM81=0,DropINTable!AN81,DropINTable!AM81)</f>
        <v>1017.9141815237313</v>
      </c>
      <c r="P105" s="46">
        <f>IF(+DropINTable!AN81=0,DropINTable!AO81,DropINTable!AN81)</f>
        <v>1189.3793395705331</v>
      </c>
      <c r="Q105" s="46">
        <f>IF(+DropINTable!AO81=0,DropINTable!AP81,DropINTable!AO81)</f>
        <v>1204.1340926383662</v>
      </c>
      <c r="R105" s="46"/>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row>
    <row r="106" spans="1:40">
      <c r="A106" t="s">
        <v>1101</v>
      </c>
      <c r="B106" s="86" t="s">
        <v>1102</v>
      </c>
      <c r="C106" t="str">
        <f t="shared" si="30"/>
        <v>Brisbane1+2</v>
      </c>
      <c r="D106" s="46">
        <f>IF(+DropINTable!AB82=0,DropINTable!AC82,DropINTable!AB82)</f>
        <v>513.48340988441385</v>
      </c>
      <c r="E106" s="46">
        <f>IF(+DropINTable!AC82=0,DropINTable!AD82,DropINTable!AC82)</f>
        <v>513.48340988441385</v>
      </c>
      <c r="F106" s="46">
        <f>IF(+DropINTable!AD82=0,DropINTable!AE82,DropINTable!AD82)</f>
        <v>528.12328580183851</v>
      </c>
      <c r="G106" s="46">
        <f>IF(+DropINTable!AE82=0,DropINTable!AF82,DropINTable!AE82)</f>
        <v>552.82101996175425</v>
      </c>
      <c r="H106" s="46">
        <f>IF(+DropINTable!AF82=0,DropINTable!AG82,DropINTable!AF82)</f>
        <v>593.25144019367133</v>
      </c>
      <c r="I106" s="46">
        <f>IF(+DropINTable!AG82=0,DropINTable!AH82,DropINTable!AG82)</f>
        <v>655.79521177414233</v>
      </c>
      <c r="J106" s="46">
        <f>IF(+DropINTable!AH82=0,DropINTable!AI82,DropINTable!AH82)</f>
        <v>742.51370871270433</v>
      </c>
      <c r="K106" s="46">
        <f>IF(+DropINTable!AI82=0,DropINTable!AJ82,DropINTable!AI82)</f>
        <v>816.02732322055488</v>
      </c>
      <c r="L106" s="46">
        <f>IF(+DropINTable!AJ82=0,DropINTable!AK82,DropINTable!AJ82)</f>
        <v>897.83070315353586</v>
      </c>
      <c r="M106" s="46">
        <f>IF(+DropINTable!AK82=0,DropINTable!AL82,DropINTable!AK82)</f>
        <v>945.90845055846057</v>
      </c>
      <c r="N106" s="46">
        <f>IF(+DropINTable!AL82=0,DropINTable!AM82,DropINTable!AL82)</f>
        <v>1011.5103749865349</v>
      </c>
      <c r="O106" s="46">
        <f>IF(+DropINTable!AM82=0,DropINTable!AN82,DropINTable!AM82)</f>
        <v>1127.2907333077849</v>
      </c>
      <c r="P106" s="46">
        <f>IF(+DropINTable!AN82=0,DropINTable!AO82,DropINTable!AN82)</f>
        <v>1298.5105855918246</v>
      </c>
      <c r="Q106" s="46">
        <f>IF(+DropINTable!AO82=0,DropINTable!AP82,DropINTable!AO82)</f>
        <v>1313.2442384586102</v>
      </c>
      <c r="R106" s="46"/>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row>
    <row r="107" spans="1:40">
      <c r="A107" t="s">
        <v>1103</v>
      </c>
      <c r="B107" s="86" t="s">
        <v>1104</v>
      </c>
      <c r="C107" t="str">
        <f t="shared" si="30"/>
        <v>Brisbane1+3</v>
      </c>
      <c r="D107" s="46">
        <f t="shared" ref="D107" si="34">+E107</f>
        <v>638.35824468559599</v>
      </c>
      <c r="E107" s="46">
        <f>IF(+DropINTable!AC83=0,DropINTable!AD83,DropINTable!AC83)</f>
        <v>638.35824468559599</v>
      </c>
      <c r="F107" s="46">
        <f>IF(+DropINTable!AD83=0,DropINTable!AE83,DropINTable!AD83)</f>
        <v>638.35824468559599</v>
      </c>
      <c r="G107" s="46">
        <f>IF(+DropINTable!AE83=0,DropINTable!AF83,DropINTable!AE83)</f>
        <v>663.02059778783746</v>
      </c>
      <c r="H107" s="46">
        <f>IF(+DropINTable!AF83=0,DropINTable!AG83,DropINTable!AF83)</f>
        <v>703.39309023696569</v>
      </c>
      <c r="I107" s="46">
        <f>IF(+DropINTable!AG83=0,DropINTable!AH83,DropINTable!AG83)</f>
        <v>765.8472595003949</v>
      </c>
      <c r="J107" s="46">
        <f>IF(+DropINTable!AH83=0,DropINTable!AI83,DropINTable!AH83)</f>
        <v>852.44151672358873</v>
      </c>
      <c r="K107" s="46">
        <f>IF(+DropINTable!AI83=0,DropINTable!AJ83,DropINTable!AI83)</f>
        <v>925.84981007480246</v>
      </c>
      <c r="L107" s="46">
        <f>IF(+DropINTable!AJ83=0,DropINTable!AK83,DropINTable!AJ83)</f>
        <v>1007.5359941554254</v>
      </c>
      <c r="M107" s="46">
        <f>IF(+DropINTable!AK83=0,DropINTable!AL83,DropINTable!AK83)</f>
        <v>1055.5448616528147</v>
      </c>
      <c r="N107" s="46">
        <f>IF(+DropINTable!AL83=0,DropINTable!AM83,DropINTable!AL83)</f>
        <v>1121.0527996561364</v>
      </c>
      <c r="O107" s="46">
        <f>IF(+DropINTable!AM83=0,DropINTable!AN83,DropINTable!AM83)</f>
        <v>1236.6672850918385</v>
      </c>
      <c r="P107" s="46">
        <f>IF(+DropINTable!AN83=0,DropINTable!AO83,DropINTable!AN83)</f>
        <v>1407.641831613116</v>
      </c>
      <c r="Q107" s="46">
        <f>IF(+DropINTable!AO83=0,DropINTable!AP83,DropINTable!AO83)</f>
        <v>1422.3543842788542</v>
      </c>
      <c r="R107" s="46"/>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row>
    <row r="108" spans="1:40">
      <c r="B108" s="86" t="s">
        <v>1105</v>
      </c>
      <c r="C108" t="str">
        <f t="shared" ref="C108:C110" si="35">+CONCATENATE(A$95,B108)</f>
        <v>Brisbane1+4</v>
      </c>
      <c r="D108" s="46">
        <f>+D107+Per_child_accounting!AC$60</f>
        <v>735.72424989212232</v>
      </c>
      <c r="E108" s="46">
        <f>+E107+Per_child_accounting!AC$60</f>
        <v>735.72424989212232</v>
      </c>
      <c r="F108" s="46">
        <f>+F107+Per_child_accounting!AD$60</f>
        <v>735.62623719632415</v>
      </c>
      <c r="G108" s="46">
        <f>+G107+Per_child_accounting!AE$60</f>
        <v>760.12324117693265</v>
      </c>
      <c r="H108" s="46">
        <f>+H107+Per_child_accounting!AF$60</f>
        <v>800.22505811801602</v>
      </c>
      <c r="I108" s="46">
        <f>+I107+Per_child_accounting!AG$60</f>
        <v>862.26050284397002</v>
      </c>
      <c r="J108" s="46">
        <f>+J107+Per_child_accounting!AH$60</f>
        <v>948.27418981271001</v>
      </c>
      <c r="K108" s="46">
        <f>+K107+Per_child_accounting!AI$60</f>
        <v>1021.19031785905</v>
      </c>
      <c r="L108" s="46">
        <f>+L107+Per_child_accounting!AJ$60</f>
        <v>1102.3288365288345</v>
      </c>
      <c r="M108" s="46">
        <f>+M107+Per_child_accounting!AK$60</f>
        <v>1150.0158297170876</v>
      </c>
      <c r="N108" s="46">
        <f>+N107+Per_child_accounting!AL$60</f>
        <v>1215.0845701786436</v>
      </c>
      <c r="O108" s="46">
        <f>+O107+Per_child_accounting!AM$60</f>
        <v>1329.9239185096192</v>
      </c>
      <c r="P108" s="46">
        <f>+P107+Per_child_accounting!AN$60</f>
        <v>1499.7521704903349</v>
      </c>
      <c r="Q108" s="46">
        <f>+Q107+Per_child_accounting!AO$60</f>
        <v>1514.3660790947422</v>
      </c>
      <c r="R108" s="46"/>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row>
    <row r="109" spans="1:40">
      <c r="B109" s="86" t="s">
        <v>1106</v>
      </c>
      <c r="C109" t="str">
        <f t="shared" si="35"/>
        <v>Brisbane1+5</v>
      </c>
      <c r="D109" s="46">
        <f>+D108+Per_child_accounting!AC$60</f>
        <v>833.09025509864864</v>
      </c>
      <c r="E109" s="46">
        <f>+E108+Per_child_accounting!AC$60</f>
        <v>833.09025509864864</v>
      </c>
      <c r="F109" s="46">
        <f>+F108+Per_child_accounting!AD$60</f>
        <v>832.89422970705232</v>
      </c>
      <c r="G109" s="46">
        <f>+G108+Per_child_accounting!AE$60</f>
        <v>857.22588456602784</v>
      </c>
      <c r="H109" s="46">
        <f>+H108+Per_child_accounting!AF$60</f>
        <v>897.05702599906635</v>
      </c>
      <c r="I109" s="46">
        <f>+I108+Per_child_accounting!AG$60</f>
        <v>958.67374618754513</v>
      </c>
      <c r="J109" s="46">
        <f>+J108+Per_child_accounting!AH$60</f>
        <v>1044.1068629018314</v>
      </c>
      <c r="K109" s="46">
        <f>+K108+Per_child_accounting!AI$60</f>
        <v>1116.5308256432975</v>
      </c>
      <c r="L109" s="46">
        <f>+L108+Per_child_accounting!AJ$60</f>
        <v>1197.1216789022437</v>
      </c>
      <c r="M109" s="46">
        <f>+M108+Per_child_accounting!AK$60</f>
        <v>1244.4867977813606</v>
      </c>
      <c r="N109" s="46">
        <f>+N108+Per_child_accounting!AL$60</f>
        <v>1309.1163407011509</v>
      </c>
      <c r="O109" s="46">
        <f>+O108+Per_child_accounting!AM$60</f>
        <v>1423.1805519273998</v>
      </c>
      <c r="P109" s="46">
        <f>+P108+Per_child_accounting!AN$60</f>
        <v>1591.8625093675539</v>
      </c>
      <c r="Q109" s="46">
        <f>+Q108+Per_child_accounting!AO$60</f>
        <v>1606.3777739106301</v>
      </c>
      <c r="R109" s="46"/>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row>
    <row r="110" spans="1:40">
      <c r="B110" s="86" t="s">
        <v>1107</v>
      </c>
      <c r="C110" t="str">
        <f t="shared" si="35"/>
        <v>Brisbane1+6</v>
      </c>
      <c r="D110" s="46">
        <f>+D109+Per_child_accounting!AC$60</f>
        <v>930.45626030517496</v>
      </c>
      <c r="E110" s="46">
        <f>+E109+Per_child_accounting!AC$60</f>
        <v>930.45626030517496</v>
      </c>
      <c r="F110" s="46">
        <f>+F109+Per_child_accounting!AD$60</f>
        <v>930.16222221778048</v>
      </c>
      <c r="G110" s="46">
        <f>+G109+Per_child_accounting!AE$60</f>
        <v>954.32852795512304</v>
      </c>
      <c r="H110" s="46">
        <f>+H109+Per_child_accounting!AF$60</f>
        <v>993.88899388011669</v>
      </c>
      <c r="I110" s="46">
        <f>+I109+Per_child_accounting!AG$60</f>
        <v>1055.0869895311203</v>
      </c>
      <c r="J110" s="46">
        <f>+J109+Per_child_accounting!AH$60</f>
        <v>1139.9395359909527</v>
      </c>
      <c r="K110" s="46">
        <f>+K109+Per_child_accounting!AI$60</f>
        <v>1211.8713334275449</v>
      </c>
      <c r="L110" s="46">
        <f>+L109+Per_child_accounting!AJ$60</f>
        <v>1291.914521275653</v>
      </c>
      <c r="M110" s="46">
        <f>+M109+Per_child_accounting!AK$60</f>
        <v>1338.9577658456335</v>
      </c>
      <c r="N110" s="46">
        <f>+N109+Per_child_accounting!AL$60</f>
        <v>1403.1481112236581</v>
      </c>
      <c r="O110" s="46">
        <f>+O109+Per_child_accounting!AM$60</f>
        <v>1516.4371853451805</v>
      </c>
      <c r="P110" s="46">
        <f>+P109+Per_child_accounting!AN$60</f>
        <v>1683.9728482447729</v>
      </c>
      <c r="Q110" s="46">
        <f>+Q109+Per_child_accounting!AO$60</f>
        <v>1698.3894687265181</v>
      </c>
      <c r="R110" s="46"/>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row>
    <row r="111" spans="1:40">
      <c r="D111" s="46"/>
      <c r="E111" s="46"/>
      <c r="F111" s="46"/>
      <c r="G111" s="46"/>
      <c r="H111" s="46"/>
      <c r="I111" s="46"/>
      <c r="J111" s="46"/>
      <c r="K111" s="46"/>
      <c r="L111" s="46"/>
      <c r="M111" s="46"/>
      <c r="N111" s="46"/>
      <c r="O111" s="46"/>
      <c r="P111" s="46"/>
      <c r="Q111" s="46"/>
      <c r="R111" s="46"/>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row>
    <row r="112" spans="1:40" ht="28.5">
      <c r="A112" s="369" t="s">
        <v>237</v>
      </c>
      <c r="B112" s="369"/>
      <c r="C112" s="369"/>
      <c r="D112" s="46"/>
      <c r="E112" s="46"/>
      <c r="F112" s="46"/>
      <c r="G112" s="46"/>
      <c r="H112" s="46"/>
      <c r="I112" s="46"/>
      <c r="J112" s="46"/>
      <c r="K112" s="46"/>
      <c r="L112" s="46"/>
      <c r="M112" s="46"/>
      <c r="N112" s="46"/>
      <c r="O112" s="46"/>
      <c r="P112" s="46"/>
      <c r="Q112" s="46"/>
      <c r="R112" s="46"/>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row>
    <row r="113" spans="1:40">
      <c r="A113" t="s">
        <v>1086</v>
      </c>
      <c r="B113" s="86" t="s">
        <v>1087</v>
      </c>
      <c r="C113" t="str">
        <f>+CONCATENATE(A$112,B113)</f>
        <v>Balance of QLD2+0</v>
      </c>
      <c r="D113" s="46">
        <f>IF(+DropINTable!AB87=0,DropINTable!AC87,DropINTable!AB87)</f>
        <v>640.64890948092886</v>
      </c>
      <c r="E113" s="46">
        <f>IF(+DropINTable!AC87=0,DropINTable!AD87,DropINTable!AC87)</f>
        <v>640.64890948092886</v>
      </c>
      <c r="F113" s="46">
        <f>IF(+DropINTable!AD87=0,DropINTable!AE87,DropINTable!AD87)</f>
        <v>655.38235758271662</v>
      </c>
      <c r="G113" s="46">
        <f>IF(+DropINTable!AE87=0,DropINTable!AF87,DropINTable!AE87)</f>
        <v>680.23794827851987</v>
      </c>
      <c r="H113" s="46">
        <f>IF(+DropINTable!AF87=0,DropINTable!AG87,DropINTable!AF87)</f>
        <v>720.92678693737093</v>
      </c>
      <c r="I113" s="46">
        <f>IF(+DropINTable!AG87=0,DropINTable!AH87,DropINTable!AG87)</f>
        <v>783.87031252187353</v>
      </c>
      <c r="J113" s="46">
        <f>IF(+DropINTable!AH87=0,DropINTable!AI87,DropINTable!AH87)</f>
        <v>871.14308047332293</v>
      </c>
      <c r="K113" s="46">
        <f>IF(+DropINTable!AI87=0,DropINTable!AJ87,DropINTable!AI87)</f>
        <v>945.12656763902021</v>
      </c>
      <c r="L113" s="46">
        <f>IF(+DropINTable!AJ87=0,DropINTable!AK87,DropINTable!AJ87)</f>
        <v>1027.4528020375424</v>
      </c>
      <c r="M113" s="46">
        <f>IF(+DropINTable!AK87=0,DropINTable!AL87,DropINTable!AK87)</f>
        <v>1075.8378429785196</v>
      </c>
      <c r="N113" s="46">
        <f>IF(+DropINTable!AL87=0,DropINTable!AM87,DropINTable!AL87)</f>
        <v>1141.859070942782</v>
      </c>
      <c r="O113" s="46">
        <f>IF(+DropINTable!AM87=0,DropINTable!AN87,DropINTable!AM87)</f>
        <v>1258.3794506713587</v>
      </c>
      <c r="P113" s="46">
        <f>IF(+DropINTable!AN87=0,DropINTable!AO87,DropINTable!AN87)</f>
        <v>1430.6936768153125</v>
      </c>
      <c r="Q113" s="46">
        <f>IF(+DropINTable!AO87=0,DropINTable!AP87,DropINTable!AO87)</f>
        <v>1445.5214958417369</v>
      </c>
      <c r="R113" s="46"/>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row>
    <row r="114" spans="1:40">
      <c r="A114" t="s">
        <v>1088</v>
      </c>
      <c r="B114" s="86" t="s">
        <v>1089</v>
      </c>
      <c r="C114" t="str">
        <f t="shared" ref="C114:C124" si="36">+CONCATENATE(A$112,B114)</f>
        <v>Balance of QLD2+1</v>
      </c>
      <c r="D114" s="46">
        <f t="shared" ref="D114:D115" si="37">+E114</f>
        <v>745.01251201231651</v>
      </c>
      <c r="E114" s="46">
        <f>IF(+DropINTable!AC88=0,DropINTable!AD88,DropINTable!AC88)</f>
        <v>745.01251201231651</v>
      </c>
      <c r="F114" s="46">
        <f>IF(+DropINTable!AD88=0,DropINTable!AE88,DropINTable!AD88)</f>
        <v>745.01251201231651</v>
      </c>
      <c r="G114" s="46">
        <f>IF(+DropINTable!AE88=0,DropINTable!AF88,DropINTable!AE88)</f>
        <v>769.974332710005</v>
      </c>
      <c r="H114" s="46">
        <f>IF(+DropINTable!AF88=0,DropINTable!AG88,DropINTable!AF88)</f>
        <v>810.83707284791114</v>
      </c>
      <c r="I114" s="46">
        <f>IF(+DropINTable!AG88=0,DropINTable!AH88,DropINTable!AG88)</f>
        <v>874.04961185093566</v>
      </c>
      <c r="J114" s="46">
        <f>IF(+DropINTable!AH88=0,DropINTable!AI88,DropINTable!AH88)</f>
        <v>961.69537481967939</v>
      </c>
      <c r="K114" s="46">
        <f>IF(+DropINTable!AI88=0,DropINTable!AJ88,DropINTable!AI88)</f>
        <v>1035.9950572561208</v>
      </c>
      <c r="L114" s="46">
        <f>IF(+DropINTable!AJ88=0,DropINTable!AK88,DropINTable!AJ88)</f>
        <v>1118.6731476442119</v>
      </c>
      <c r="M114" s="46">
        <f>IF(+DropINTable!AK88=0,DropINTable!AL88,DropINTable!AK88)</f>
        <v>1167.2649818305038</v>
      </c>
      <c r="N114" s="46">
        <f>IF(+DropINTable!AL88=0,DropINTable!AM88,DropINTable!AL88)</f>
        <v>1233.568375336178</v>
      </c>
      <c r="O114" s="46">
        <f>IF(+DropINTable!AM88=0,DropINTable!AN88,DropINTable!AM88)</f>
        <v>1350.586752038289</v>
      </c>
      <c r="P114" s="46">
        <f>IF(+DropINTable!AN88=0,DropINTable!AO88,DropINTable!AN88)</f>
        <v>1523.6374328318864</v>
      </c>
      <c r="Q114" s="46">
        <f>IF(+DropINTable!AO88=0,DropINTable!AP88,DropINTable!AO88)</f>
        <v>1538.5286223005915</v>
      </c>
      <c r="R114" s="46"/>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row>
    <row r="115" spans="1:40">
      <c r="A115" t="s">
        <v>1090</v>
      </c>
      <c r="B115" s="86" t="s">
        <v>1091</v>
      </c>
      <c r="C115" t="str">
        <f t="shared" si="36"/>
        <v>Balance of QLD2+2</v>
      </c>
      <c r="D115" s="46">
        <f t="shared" si="37"/>
        <v>810.83707649951634</v>
      </c>
      <c r="E115" s="46">
        <f>IF(+DropINTable!AC89=0,DropINTable!AD89,DropINTable!AC89)</f>
        <v>810.83707649951634</v>
      </c>
      <c r="F115" s="46">
        <f>IF(+DropINTable!AD89=0,DropINTable!AE89,DropINTable!AD89)</f>
        <v>810.83707649951634</v>
      </c>
      <c r="G115" s="46">
        <f>IF(+DropINTable!AE89=0,DropINTable!AF89,DropINTable!AE89)</f>
        <v>835.635935152917</v>
      </c>
      <c r="H115" s="46">
        <f>IF(+DropINTable!AF89=0,DropINTable!AG89,DropINTable!AF89)</f>
        <v>876.23190602221712</v>
      </c>
      <c r="I115" s="46">
        <f>IF(+DropINTable!AG89=0,DropINTable!AH89,DropINTable!AG89)</f>
        <v>939.03176576790474</v>
      </c>
      <c r="J115" s="46">
        <f>IF(+DropINTable!AH89=0,DropINTable!AI89,DropINTable!AH89)</f>
        <v>1026.1053392670108</v>
      </c>
      <c r="K115" s="46">
        <f>IF(+DropINTable!AI89=0,DropINTable!AJ89,DropINTable!AI89)</f>
        <v>1099.9199630292733</v>
      </c>
      <c r="L115" s="46">
        <f>IF(+DropINTable!AJ89=0,DropINTable!AK89,DropINTable!AJ89)</f>
        <v>1182.0582950600372</v>
      </c>
      <c r="M115" s="46">
        <f>IF(+DropINTable!AK89=0,DropINTable!AL89,DropINTable!AK89)</f>
        <v>1230.3328988563965</v>
      </c>
      <c r="N115" s="46">
        <f>IF(+DropINTable!AL89=0,DropINTable!AM89,DropINTable!AL89)</f>
        <v>1296.2034390653876</v>
      </c>
      <c r="O115" s="46">
        <f>IF(+DropINTable!AM89=0,DropINTable!AN89,DropINTable!AM89)</f>
        <v>1412.4578676564474</v>
      </c>
      <c r="P115" s="46">
        <f>IF(+DropINTable!AN89=0,DropINTable!AO89,DropINTable!AN89)</f>
        <v>1584.3787970756639</v>
      </c>
      <c r="Q115" s="46">
        <f>IF(+DropINTable!AO89=0,DropINTable!AP89,DropINTable!AO89)</f>
        <v>1599.1727729862776</v>
      </c>
      <c r="R115" s="46"/>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row>
    <row r="116" spans="1:40">
      <c r="A116" t="s">
        <v>1092</v>
      </c>
      <c r="B116" s="86" t="s">
        <v>1093</v>
      </c>
      <c r="C116" t="str">
        <f t="shared" si="36"/>
        <v>Balance of QLD2+3</v>
      </c>
      <c r="D116" s="46">
        <f t="shared" ref="D116" si="38">+F116</f>
        <v>902.91082398602134</v>
      </c>
      <c r="E116" s="46">
        <f>+F116</f>
        <v>902.91082398602134</v>
      </c>
      <c r="F116" s="46">
        <f>IF(+DropINTable!AD90=0,DropINTable!AE90,DropINTable!AD90)</f>
        <v>902.91082398602134</v>
      </c>
      <c r="G116" s="46">
        <f>IF(+DropINTable!AE90=0,DropINTable!AF90,DropINTable!AE90)</f>
        <v>902.91082398602134</v>
      </c>
      <c r="H116" s="46">
        <f>IF(+DropINTable!AF90=0,DropINTable!AG90,DropINTable!AF90)</f>
        <v>943.49204785521169</v>
      </c>
      <c r="I116" s="46">
        <f>IF(+DropINTable!AG90=0,DropINTable!AH90,DropINTable!AG90)</f>
        <v>1006.2690983366525</v>
      </c>
      <c r="J116" s="46">
        <f>IF(+DropINTable!AH90=0,DropINTable!AI90,DropINTable!AH90)</f>
        <v>1093.3110461420263</v>
      </c>
      <c r="K116" s="46">
        <f>IF(+DropINTable!AI90=0,DropINTable!AJ90,DropINTable!AI90)</f>
        <v>1167.0988557778105</v>
      </c>
      <c r="L116" s="46">
        <f>IF(+DropINTable!AJ90=0,DropINTable!AK90,DropINTable!AJ90)</f>
        <v>1249.2073514353385</v>
      </c>
      <c r="M116" s="46">
        <f>IF(+DropINTable!AK90=0,DropINTable!AL90,DropINTable!AK90)</f>
        <v>1297.4644225912866</v>
      </c>
      <c r="N116" s="46">
        <f>IF(+DropINTable!AL90=0,DropINTable!AM90,DropINTable!AL90)</f>
        <v>1363.3110345283585</v>
      </c>
      <c r="O116" s="46">
        <f>IF(+DropINTable!AM90=0,DropINTable!AN90,DropINTable!AM90)</f>
        <v>1479.5232364562528</v>
      </c>
      <c r="P116" s="46">
        <f>IF(+DropINTable!AN90=0,DropINTable!AO90,DropINTable!AN90)</f>
        <v>1651.3817205258342</v>
      </c>
      <c r="Q116" s="46">
        <f>IF(+DropINTable!AO90=0,DropINTable!AP90,DropINTable!AO90)</f>
        <v>1666.1703244480143</v>
      </c>
      <c r="R116" s="46"/>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row>
    <row r="117" spans="1:40">
      <c r="B117" s="86" t="s">
        <v>1094</v>
      </c>
      <c r="C117" t="str">
        <f t="shared" ref="C117:C119" si="39">+CONCATENATE(A$112,B117)</f>
        <v>Balance of QLD2+4</v>
      </c>
      <c r="D117" s="46">
        <f>+D116+Per_child_accounting!$AD$65</f>
        <v>992.54097841562123</v>
      </c>
      <c r="E117" s="46">
        <f>+E116+Per_child_accounting!$AD$65</f>
        <v>992.54097841562123</v>
      </c>
      <c r="F117" s="46">
        <f>+F116+Per_child_accounting!AD$65</f>
        <v>992.54097841562123</v>
      </c>
      <c r="G117" s="46">
        <f>+G116+Per_child_accounting!AE$65</f>
        <v>992.64720841750648</v>
      </c>
      <c r="H117" s="46">
        <f>+H116+Per_child_accounting!AF$65</f>
        <v>1033.4023337657518</v>
      </c>
      <c r="I117" s="46">
        <f>+I116+Per_child_accounting!AG$65</f>
        <v>1096.4483976657148</v>
      </c>
      <c r="J117" s="46">
        <f>+J116+Per_child_accounting!AH$65</f>
        <v>1183.8633404883826</v>
      </c>
      <c r="K117" s="46">
        <f>+K116+Per_child_accounting!AI$65</f>
        <v>1257.9673453949113</v>
      </c>
      <c r="L117" s="46">
        <f>+L116+Per_child_accounting!AJ$65</f>
        <v>1340.427697042008</v>
      </c>
      <c r="M117" s="46">
        <f>+M116+Per_child_accounting!AK$65</f>
        <v>1388.8915614432708</v>
      </c>
      <c r="N117" s="46">
        <f>+N116+Per_child_accounting!AL$65</f>
        <v>1455.0203389217545</v>
      </c>
      <c r="O117" s="46">
        <f>+O116+Per_child_accounting!AM$65</f>
        <v>1571.7305378231831</v>
      </c>
      <c r="P117" s="46">
        <f>+P116+Per_child_accounting!AN$65</f>
        <v>1744.3254765424081</v>
      </c>
      <c r="Q117" s="46">
        <f>+Q116+Per_child_accounting!AO$65</f>
        <v>1759.1774509068689</v>
      </c>
      <c r="R117" s="46"/>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row>
    <row r="118" spans="1:40">
      <c r="B118" s="86" t="s">
        <v>1095</v>
      </c>
      <c r="C118" t="str">
        <f t="shared" si="39"/>
        <v>Balance of QLD2+5</v>
      </c>
      <c r="D118" s="46">
        <f>+D117+Per_child_accounting!$AD$65</f>
        <v>1082.1711328452211</v>
      </c>
      <c r="E118" s="46">
        <f>+E117+Per_child_accounting!$AD$65</f>
        <v>1082.1711328452211</v>
      </c>
      <c r="F118" s="46">
        <f>+F117+Per_child_accounting!$AD$65</f>
        <v>1082.1711328452211</v>
      </c>
      <c r="G118" s="46">
        <f>+G117+Per_child_accounting!AE$65</f>
        <v>1082.3835928489916</v>
      </c>
      <c r="H118" s="46">
        <f>+H117+Per_child_accounting!AF$65</f>
        <v>1123.3126196762919</v>
      </c>
      <c r="I118" s="46">
        <f>+I117+Per_child_accounting!AG$65</f>
        <v>1186.6276969947769</v>
      </c>
      <c r="J118" s="46">
        <f>+J117+Per_child_accounting!AH$65</f>
        <v>1274.4156348347392</v>
      </c>
      <c r="K118" s="46">
        <f>+K117+Per_child_accounting!AI$65</f>
        <v>1348.835835012012</v>
      </c>
      <c r="L118" s="46">
        <f>+L117+Per_child_accounting!AJ$65</f>
        <v>1431.6480426486776</v>
      </c>
      <c r="M118" s="46">
        <f>+M117+Per_child_accounting!AK$65</f>
        <v>1480.318700295255</v>
      </c>
      <c r="N118" s="46">
        <f>+N117+Per_child_accounting!AL$65</f>
        <v>1546.7296433151505</v>
      </c>
      <c r="O118" s="46">
        <f>+O117+Per_child_accounting!AM$65</f>
        <v>1663.9378391901134</v>
      </c>
      <c r="P118" s="46">
        <f>+P117+Per_child_accounting!AN$65</f>
        <v>1837.2692325589819</v>
      </c>
      <c r="Q118" s="46">
        <f>+Q117+Per_child_accounting!AO$65</f>
        <v>1852.1845773657235</v>
      </c>
      <c r="R118" s="46"/>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row>
    <row r="119" spans="1:40">
      <c r="B119" s="86" t="s">
        <v>1096</v>
      </c>
      <c r="C119" t="str">
        <f t="shared" si="39"/>
        <v>Balance of QLD2+6</v>
      </c>
      <c r="D119" s="46">
        <f>+D118+Per_child_accounting!$AD$65</f>
        <v>1171.8012872748209</v>
      </c>
      <c r="E119" s="46">
        <f>+E118+Per_child_accounting!$AD$65</f>
        <v>1171.8012872748209</v>
      </c>
      <c r="F119" s="46">
        <f>+F118+Per_child_accounting!$AD$65</f>
        <v>1171.8012872748209</v>
      </c>
      <c r="G119" s="46">
        <f>+G118+Per_child_accounting!AE$65</f>
        <v>1172.1199772804766</v>
      </c>
      <c r="H119" s="46">
        <f>+H118+Per_child_accounting!AF$65</f>
        <v>1213.222905586832</v>
      </c>
      <c r="I119" s="46">
        <f>+I118+Per_child_accounting!AG$65</f>
        <v>1276.806996323839</v>
      </c>
      <c r="J119" s="46">
        <f>+J118+Per_child_accounting!AH$65</f>
        <v>1364.9679291810958</v>
      </c>
      <c r="K119" s="46">
        <f>+K118+Per_child_accounting!AI$65</f>
        <v>1439.7043246291128</v>
      </c>
      <c r="L119" s="46">
        <f>+L118+Per_child_accounting!AJ$65</f>
        <v>1522.8683882553471</v>
      </c>
      <c r="M119" s="46">
        <f>+M118+Per_child_accounting!AK$65</f>
        <v>1571.7458391472392</v>
      </c>
      <c r="N119" s="46">
        <f>+N118+Per_child_accounting!AL$65</f>
        <v>1638.4389477085465</v>
      </c>
      <c r="O119" s="46">
        <f>+O118+Per_child_accounting!AM$65</f>
        <v>1756.1451405570438</v>
      </c>
      <c r="P119" s="46">
        <f>+P118+Per_child_accounting!AN$65</f>
        <v>1930.2129885755558</v>
      </c>
      <c r="Q119" s="46">
        <f>+Q118+Per_child_accounting!AO$65</f>
        <v>1945.1917038245781</v>
      </c>
      <c r="R119" s="46"/>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row>
    <row r="120" spans="1:40">
      <c r="B120" s="86"/>
      <c r="D120" s="46"/>
      <c r="E120" s="46"/>
      <c r="F120" s="46"/>
      <c r="G120" s="46"/>
      <c r="H120" s="46"/>
      <c r="I120" s="46"/>
      <c r="J120" s="46"/>
      <c r="K120" s="46"/>
      <c r="L120" s="46"/>
      <c r="M120" s="46"/>
      <c r="N120" s="46"/>
      <c r="O120" s="46"/>
      <c r="P120" s="46"/>
      <c r="Q120" s="46"/>
      <c r="R120" s="46"/>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row>
    <row r="121" spans="1:40">
      <c r="A121" t="s">
        <v>1097</v>
      </c>
      <c r="B121" s="86" t="s">
        <v>1098</v>
      </c>
      <c r="C121" t="str">
        <f t="shared" si="36"/>
        <v>Balance of QLD1+0</v>
      </c>
      <c r="D121" s="46">
        <f>IF(+DropINTable!AB92=0,DropINTable!AC92,DropINTable!AB92)</f>
        <v>353.12192766813553</v>
      </c>
      <c r="E121" s="46">
        <f>IF(+DropINTable!AC92=0,DropINTable!AD92,DropINTable!AC92)</f>
        <v>368.52560902527819</v>
      </c>
      <c r="F121" s="46">
        <f>IF(+DropINTable!AD92=0,DropINTable!AE92,DropINTable!AD92)</f>
        <v>383.28447105376074</v>
      </c>
      <c r="G121" s="46">
        <f>IF(+DropINTable!AE92=0,DropINTable!AF92,DropINTable!AE92)</f>
        <v>408.18293502699652</v>
      </c>
      <c r="H121" s="46">
        <f>IF(+DropINTable!AF92=0,DropINTable!AG92,DropINTable!AF92)</f>
        <v>448.94195963593063</v>
      </c>
      <c r="I121" s="46">
        <f>IF(+DropINTable!AG92=0,DropINTable!AH92,DropINTable!AG92)</f>
        <v>511.99405739248232</v>
      </c>
      <c r="J121" s="46">
        <f>IF(+DropINTable!AH92=0,DropINTable!AI92,DropINTable!AH92)</f>
        <v>599.41736421691849</v>
      </c>
      <c r="K121" s="46">
        <f>IF(+DropINTable!AI92=0,DropINTable!AJ92,DropINTable!AI92)</f>
        <v>673.52846640609437</v>
      </c>
      <c r="L121" s="46">
        <f>IF(+DropINTable!AJ92=0,DropINTable!AK92,DropINTable!AJ92)</f>
        <v>755.99670657433808</v>
      </c>
      <c r="M121" s="46">
        <f>IF(+DropINTable!AK92=0,DropINTable!AL92,DropINTable!AK92)</f>
        <v>804.46520808628804</v>
      </c>
      <c r="N121" s="46">
        <f>IF(+DropINTable!AL92=0,DropINTable!AM92,DropINTable!AL92)</f>
        <v>870.60031747455002</v>
      </c>
      <c r="O121" s="46">
        <f>IF(+DropINTable!AM92=0,DropINTable!AN92,DropINTable!AM92)</f>
        <v>987.32168432640844</v>
      </c>
      <c r="P121" s="46">
        <f>IF(+DropINTable!AN92=0,DropINTable!AO92,DropINTable!AN92)</f>
        <v>1159.9331379211471</v>
      </c>
      <c r="Q121" s="46">
        <f>IF(+DropINTable!AO92=0,DropINTable!AP92,DropINTable!AO92)</f>
        <v>1174.7865336180569</v>
      </c>
      <c r="R121" s="46"/>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row>
    <row r="122" spans="1:40">
      <c r="A122" t="s">
        <v>1099</v>
      </c>
      <c r="B122" s="86" t="s">
        <v>1100</v>
      </c>
      <c r="C122" t="str">
        <f t="shared" si="36"/>
        <v>Balance of QLD1+1</v>
      </c>
      <c r="D122" s="46">
        <f>IF(+DropINTable!AB93=0,DropINTable!AC93,DropINTable!AB93)</f>
        <v>465.4754677173741</v>
      </c>
      <c r="E122" s="46">
        <f>IF(+DropINTable!AC93=0,DropINTable!AD93,DropINTable!AC93)</f>
        <v>465.4754677173741</v>
      </c>
      <c r="F122" s="46">
        <f>IF(+DropINTable!AD93=0,DropINTable!AE93,DropINTable!AD93)</f>
        <v>480.13631706979163</v>
      </c>
      <c r="G122" s="46">
        <f>IF(+DropINTable!AE93=0,DropINTable!AF93,DropINTable!AE93)</f>
        <v>504.86943296377217</v>
      </c>
      <c r="H122" s="46">
        <f>IF(+DropINTable!AF93=0,DropINTable!AG93,DropINTable!AF93)</f>
        <v>545.35777889883002</v>
      </c>
      <c r="I122" s="46">
        <f>IF(+DropINTable!AG93=0,DropINTable!AH93,DropINTable!AG93)</f>
        <v>607.99115281653371</v>
      </c>
      <c r="J122" s="46">
        <f>IF(+DropINTable!AH93=0,DropINTable!AI93,DropINTable!AH93)</f>
        <v>694.83388890512242</v>
      </c>
      <c r="K122" s="46">
        <f>IF(+DropINTable!AI93=0,DropINTable!AJ93,DropINTable!AI93)</f>
        <v>768.45282574067392</v>
      </c>
      <c r="L122" s="46">
        <f>IF(+DropINTable!AJ93=0,DropINTable!AK93,DropINTable!AJ93)</f>
        <v>850.37340338356262</v>
      </c>
      <c r="M122" s="46">
        <f>IF(+DropINTable!AK93=0,DropINTable!AL93,DropINTable!AK93)</f>
        <v>898.5200298076295</v>
      </c>
      <c r="N122" s="46">
        <f>IF(+DropINTable!AL93=0,DropINTable!AM93,DropINTable!AL93)</f>
        <v>964.21593856061736</v>
      </c>
      <c r="O122" s="46">
        <f>IF(+DropINTable!AM93=0,DropINTable!AN93,DropINTable!AM93)</f>
        <v>1080.1621740478561</v>
      </c>
      <c r="P122" s="46">
        <f>IF(+DropINTable!AN93=0,DropINTable!AO93,DropINTable!AN93)</f>
        <v>1251.6273283795588</v>
      </c>
      <c r="Q122" s="46">
        <f>IF(+DropINTable!AO93=0,DropINTable!AP93,DropINTable!AO93)</f>
        <v>1266.3820822550222</v>
      </c>
      <c r="R122" s="46"/>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row>
    <row r="123" spans="1:40">
      <c r="A123" t="s">
        <v>1101</v>
      </c>
      <c r="B123" s="86" t="s">
        <v>1102</v>
      </c>
      <c r="C123" t="str">
        <f t="shared" si="36"/>
        <v>Balance of QLD1+2</v>
      </c>
      <c r="D123" s="46">
        <f>IF(+DropINTable!AB94=0,DropINTable!AC94,DropINTable!AB94)</f>
        <v>575.6423477127961</v>
      </c>
      <c r="E123" s="46">
        <f>IF(+DropINTable!AC94=0,DropINTable!AD94,DropINTable!AC94)</f>
        <v>575.6423477127961</v>
      </c>
      <c r="F123" s="46">
        <f>IF(+DropINTable!AD94=0,DropINTable!AE94,DropINTable!AD94)</f>
        <v>590.28222319009126</v>
      </c>
      <c r="G123" s="46">
        <f>IF(+DropINTable!AE94=0,DropINTable!AF94,DropINTable!AE94)</f>
        <v>614.97995363335906</v>
      </c>
      <c r="H123" s="46">
        <f>IF(+DropINTable!AF94=0,DropINTable!AG94,DropINTable!AF94)</f>
        <v>655.41038039386171</v>
      </c>
      <c r="I123" s="46">
        <f>IF(+DropINTable!AG94=0,DropINTable!AH94,DropINTable!AG94)</f>
        <v>717.95414894233056</v>
      </c>
      <c r="J123" s="46">
        <f>IF(+DropINTable!AH94=0,DropINTable!AI94,DropINTable!AH94)</f>
        <v>804.67264382695532</v>
      </c>
      <c r="K123" s="46">
        <f>IF(+DropINTable!AI94=0,DropINTable!AJ94,DropINTable!AI94)</f>
        <v>878.18626161132477</v>
      </c>
      <c r="L123" s="46">
        <f>IF(+DropINTable!AJ94=0,DropINTable!AK94,DropINTable!AJ94)</f>
        <v>959.98964252237113</v>
      </c>
      <c r="M123" s="46">
        <f>IF(+DropINTable!AK94=0,DropINTable!AL94,DropINTable!AK94)</f>
        <v>1008.0673880689718</v>
      </c>
      <c r="N123" s="46">
        <f>IF(+DropINTable!AL94=0,DropINTable!AM94,DropINTable!AL94)</f>
        <v>1073.6693123992395</v>
      </c>
      <c r="O123" s="46">
        <f>IF(+DropINTable!AM94=0,DropINTable!AN94,DropINTable!AM94)</f>
        <v>1189.4496696446174</v>
      </c>
      <c r="P123" s="46">
        <f>IF(+DropINTable!AN94=0,DropINTable!AO94,DropINTable!AN94)</f>
        <v>1360.6695232979487</v>
      </c>
      <c r="Q123" s="46">
        <f>IF(+DropINTable!AO94=0,DropINTable!AP94,DropINTable!AO94)</f>
        <v>1375.403172448086</v>
      </c>
      <c r="R123" s="46"/>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row>
    <row r="124" spans="1:40">
      <c r="A124" t="s">
        <v>1103</v>
      </c>
      <c r="B124" s="86" t="s">
        <v>1104</v>
      </c>
      <c r="C124" t="str">
        <f t="shared" si="36"/>
        <v>Balance of QLD1+3</v>
      </c>
      <c r="D124" s="46">
        <f t="shared" ref="D124" si="40">+E124</f>
        <v>700.42812931039089</v>
      </c>
      <c r="E124" s="46">
        <f>IF(+DropINTable!AC95=0,DropINTable!AD95,DropINTable!AC95)</f>
        <v>700.42812931039089</v>
      </c>
      <c r="F124" s="46">
        <f>IF(+DropINTable!AD95=0,DropINTable!AE95,DropINTable!AD95)</f>
        <v>700.42812931039089</v>
      </c>
      <c r="G124" s="46">
        <f>IF(+DropINTable!AE95=0,DropINTable!AF95,DropINTable!AE95)</f>
        <v>725.09047430294595</v>
      </c>
      <c r="H124" s="46">
        <f>IF(+DropINTable!AF95=0,DropINTable!AG95,DropINTable!AF95)</f>
        <v>765.46298188889341</v>
      </c>
      <c r="I124" s="46">
        <f>IF(+DropINTable!AG95=0,DropINTable!AH95,DropINTable!AG95)</f>
        <v>827.91714506812741</v>
      </c>
      <c r="J124" s="46">
        <f>IF(+DropINTable!AH95=0,DropINTable!AI95,DropINTable!AH95)</f>
        <v>914.51139874878822</v>
      </c>
      <c r="K124" s="46">
        <f>IF(+DropINTable!AI95=0,DropINTable!AJ95,DropINTable!AI95)</f>
        <v>987.91969748197562</v>
      </c>
      <c r="L124" s="46">
        <f>IF(+DropINTable!AJ95=0,DropINTable!AK95,DropINTable!AJ95)</f>
        <v>1069.6058816611796</v>
      </c>
      <c r="M124" s="46">
        <f>IF(+DropINTable!AK95=0,DropINTable!AL95,DropINTable!AK95)</f>
        <v>1117.6147463303141</v>
      </c>
      <c r="N124" s="46">
        <f>IF(+DropINTable!AL95=0,DropINTable!AM95,DropINTable!AL95)</f>
        <v>1183.1226862378617</v>
      </c>
      <c r="O124" s="46">
        <f>IF(+DropINTable!AM95=0,DropINTable!AN95,DropINTable!AM95)</f>
        <v>1298.7371652413788</v>
      </c>
      <c r="P124" s="46">
        <f>IF(+DropINTable!AN95=0,DropINTable!AO95,DropINTable!AN95)</f>
        <v>1469.7117182163386</v>
      </c>
      <c r="Q124" s="46">
        <f>IF(+DropINTable!AO95=0,DropINTable!AP95,DropINTable!AO95)</f>
        <v>1484.4242626411499</v>
      </c>
      <c r="R124" s="46"/>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row>
    <row r="125" spans="1:40">
      <c r="B125" s="86" t="s">
        <v>1105</v>
      </c>
      <c r="C125" t="str">
        <f t="shared" ref="C125:C127" si="41">+CONCATENATE(A$112,B125)</f>
        <v>Balance of QLD1+4</v>
      </c>
      <c r="D125" s="46">
        <f>+D124+Per_child_accounting!AC$68</f>
        <v>797.37798800248675</v>
      </c>
      <c r="E125" s="46">
        <f>+E124+Per_child_accounting!AC$68</f>
        <v>797.37798800248675</v>
      </c>
      <c r="F125" s="46">
        <f>+F124+Per_child_accounting!AD$68</f>
        <v>797.27997532642178</v>
      </c>
      <c r="G125" s="46">
        <f>+G124+Per_child_accounting!AE$68</f>
        <v>821.77697223972154</v>
      </c>
      <c r="H125" s="46">
        <f>+H124+Per_child_accounting!AF$68</f>
        <v>861.8788011517928</v>
      </c>
      <c r="I125" s="46">
        <f>+I124+Per_child_accounting!AG$68</f>
        <v>923.91424049217881</v>
      </c>
      <c r="J125" s="46">
        <f>+J124+Per_child_accounting!AH$68</f>
        <v>1009.9279234369922</v>
      </c>
      <c r="K125" s="46">
        <f>+K124+Per_child_accounting!AI$68</f>
        <v>1082.8440568165552</v>
      </c>
      <c r="L125" s="46">
        <f>+L124+Per_child_accounting!AJ$68</f>
        <v>1163.9825784704042</v>
      </c>
      <c r="M125" s="46">
        <f>+M124+Per_child_accounting!AK$68</f>
        <v>1211.6695680516555</v>
      </c>
      <c r="N125" s="46">
        <f>+N124+Per_child_accounting!AL$68</f>
        <v>1276.7383073239289</v>
      </c>
      <c r="O125" s="46">
        <f>+O124+Per_child_accounting!AM$68</f>
        <v>1391.5776549628263</v>
      </c>
      <c r="P125" s="46">
        <f>+P124+Per_child_accounting!AN$68</f>
        <v>1561.4059086747502</v>
      </c>
      <c r="Q125" s="46">
        <f>+Q124+Per_child_accounting!AO$68</f>
        <v>1576.0198112781152</v>
      </c>
      <c r="R125" s="46"/>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row>
    <row r="126" spans="1:40">
      <c r="B126" s="86" t="s">
        <v>1106</v>
      </c>
      <c r="C126" t="str">
        <f t="shared" si="41"/>
        <v>Balance of QLD1+5</v>
      </c>
      <c r="D126" s="46">
        <f>+D125+Per_child_accounting!AC$68</f>
        <v>894.3278466945826</v>
      </c>
      <c r="E126" s="46">
        <f>+E125+Per_child_accounting!AC$68</f>
        <v>894.3278466945826</v>
      </c>
      <c r="F126" s="46">
        <f>+F125+Per_child_accounting!AD$68</f>
        <v>894.13182134245267</v>
      </c>
      <c r="G126" s="46">
        <f>+G125+Per_child_accounting!AE$68</f>
        <v>918.46347017649714</v>
      </c>
      <c r="H126" s="46">
        <f>+H125+Per_child_accounting!AF$68</f>
        <v>958.29462041469219</v>
      </c>
      <c r="I126" s="46">
        <f>+I125+Per_child_accounting!AG$68</f>
        <v>1019.9113359162302</v>
      </c>
      <c r="J126" s="46">
        <f>+J125+Per_child_accounting!AH$68</f>
        <v>1105.3444481251961</v>
      </c>
      <c r="K126" s="46">
        <f>+K125+Per_child_accounting!AI$68</f>
        <v>1177.7684161511347</v>
      </c>
      <c r="L126" s="46">
        <f>+L125+Per_child_accounting!AJ$68</f>
        <v>1258.3592752796287</v>
      </c>
      <c r="M126" s="46">
        <f>+M125+Per_child_accounting!AK$68</f>
        <v>1305.7243897729968</v>
      </c>
      <c r="N126" s="46">
        <f>+N125+Per_child_accounting!AL$68</f>
        <v>1370.3539284099961</v>
      </c>
      <c r="O126" s="46">
        <f>+O125+Per_child_accounting!AM$68</f>
        <v>1484.418144684274</v>
      </c>
      <c r="P126" s="46">
        <f>+P125+Per_child_accounting!AN$68</f>
        <v>1653.1000991331618</v>
      </c>
      <c r="Q126" s="46">
        <f>+Q125+Per_child_accounting!AO$68</f>
        <v>1667.6153599150805</v>
      </c>
      <c r="R126" s="46"/>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row>
    <row r="127" spans="1:40">
      <c r="B127" s="86" t="s">
        <v>1107</v>
      </c>
      <c r="C127" t="str">
        <f t="shared" si="41"/>
        <v>Balance of QLD1+6</v>
      </c>
      <c r="D127" s="46">
        <f>+D126+Per_child_accounting!AC$68</f>
        <v>991.27770538667846</v>
      </c>
      <c r="E127" s="46">
        <f>+E126+Per_child_accounting!AC$68</f>
        <v>991.27770538667846</v>
      </c>
      <c r="F127" s="46">
        <f>+F126+Per_child_accounting!AD$68</f>
        <v>990.98366735848356</v>
      </c>
      <c r="G127" s="46">
        <f>+G126+Per_child_accounting!AE$68</f>
        <v>1015.1499681132727</v>
      </c>
      <c r="H127" s="46">
        <f>+H126+Per_child_accounting!AF$68</f>
        <v>1054.7104396775917</v>
      </c>
      <c r="I127" s="46">
        <f>+I126+Per_child_accounting!AG$68</f>
        <v>1115.9084313402816</v>
      </c>
      <c r="J127" s="46">
        <f>+J126+Per_child_accounting!AH$68</f>
        <v>1200.7609728134</v>
      </c>
      <c r="K127" s="46">
        <f>+K126+Per_child_accounting!AI$68</f>
        <v>1272.6927754857143</v>
      </c>
      <c r="L127" s="46">
        <f>+L126+Per_child_accounting!AJ$68</f>
        <v>1352.7359720888533</v>
      </c>
      <c r="M127" s="46">
        <f>+M126+Per_child_accounting!AK$68</f>
        <v>1399.7792114943381</v>
      </c>
      <c r="N127" s="46">
        <f>+N126+Per_child_accounting!AL$68</f>
        <v>1463.9695494960633</v>
      </c>
      <c r="O127" s="46">
        <f>+O126+Per_child_accounting!AM$68</f>
        <v>1577.2586344057218</v>
      </c>
      <c r="P127" s="46">
        <f>+P126+Per_child_accounting!AN$68</f>
        <v>1744.7942895915735</v>
      </c>
      <c r="Q127" s="46">
        <f>+Q126+Per_child_accounting!AO$68</f>
        <v>1759.2109085520458</v>
      </c>
      <c r="R127" s="46"/>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row>
    <row r="128" spans="1:40">
      <c r="D128" s="46"/>
      <c r="E128" s="46"/>
      <c r="F128" s="46"/>
      <c r="G128" s="46"/>
      <c r="H128" s="46"/>
      <c r="I128" s="46"/>
      <c r="J128" s="46"/>
      <c r="K128" s="46"/>
      <c r="L128" s="46"/>
      <c r="M128" s="46"/>
      <c r="N128" s="46"/>
      <c r="O128" s="46"/>
      <c r="P128" s="46"/>
      <c r="Q128" s="46"/>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row>
    <row r="129" spans="1:40" ht="28.5">
      <c r="A129" s="369" t="s">
        <v>233</v>
      </c>
      <c r="B129" s="369"/>
      <c r="C129" s="369"/>
      <c r="D129" s="46"/>
      <c r="E129" s="46"/>
      <c r="F129" s="46"/>
      <c r="G129" s="46"/>
      <c r="H129" s="46"/>
      <c r="I129" s="46"/>
      <c r="J129" s="46"/>
      <c r="K129" s="46"/>
      <c r="L129" s="46"/>
      <c r="M129" s="46"/>
      <c r="N129" s="46"/>
      <c r="O129" s="46"/>
      <c r="P129" s="46"/>
      <c r="Q129" s="46"/>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row>
    <row r="130" spans="1:40">
      <c r="A130" t="s">
        <v>1086</v>
      </c>
      <c r="B130" s="86" t="s">
        <v>1087</v>
      </c>
      <c r="C130" t="str">
        <f>+CONCATENATE(A$129,B130)</f>
        <v>Adelaide2+0</v>
      </c>
      <c r="D130" s="46">
        <f>IF(+DropINTable!AB99=0,DropINTable!AC99,DropINTable!AB99)</f>
        <v>619.98742307917848</v>
      </c>
      <c r="E130" s="46">
        <f>IF(+DropINTable!AC99=0,DropINTable!AD99,DropINTable!AC99)</f>
        <v>619.98742307917848</v>
      </c>
      <c r="F130" s="46">
        <f>IF(+DropINTable!AD99=0,DropINTable!AE99,DropINTable!AD99)</f>
        <v>634.72087145287287</v>
      </c>
      <c r="G130" s="46">
        <f>IF(+DropINTable!AE99=0,DropINTable!AF99,DropINTable!AE99)</f>
        <v>659.57646223853715</v>
      </c>
      <c r="H130" s="46">
        <f>IF(+DropINTable!AF99=0,DropINTable!AG99,DropINTable!AF99)</f>
        <v>700.26530081837245</v>
      </c>
      <c r="I130" s="46">
        <f>IF(+DropINTable!AG99=0,DropINTable!AH99,DropINTable!AG99)</f>
        <v>763.20882595202136</v>
      </c>
      <c r="J130" s="46">
        <f>IF(+DropINTable!AH99=0,DropINTable!AI99,DropINTable!AH99)</f>
        <v>850.48159512743848</v>
      </c>
      <c r="K130" s="46">
        <f>IF(+DropINTable!AI99=0,DropINTable!AJ99,DropINTable!AI99)</f>
        <v>924.46508061366603</v>
      </c>
      <c r="L130" s="46">
        <f>IF(+DropINTable!AJ99=0,DropINTable!AK99,DropINTable!AJ99)</f>
        <v>1006.7913167226445</v>
      </c>
      <c r="M130" s="46">
        <f>IF(+DropINTable!AK99=0,DropINTable!AL99,DropINTable!AK99)</f>
        <v>1055.1763578743301</v>
      </c>
      <c r="N130" s="46">
        <f>IF(+DropINTable!AL99=0,DropINTable!AM99,DropINTable!AL99)</f>
        <v>1121.197584698288</v>
      </c>
      <c r="O130" s="46">
        <f>IF(+DropINTable!AM99=0,DropINTable!AN99,DropINTable!AM99)</f>
        <v>1237.7179644392595</v>
      </c>
      <c r="P130" s="46">
        <f>IF(+DropINTable!AN99=0,DropINTable!AO99,DropINTable!AN99)</f>
        <v>1410.0321916615446</v>
      </c>
      <c r="Q130" s="46">
        <f>IF(+DropINTable!AO99=0,DropINTable!AP99,DropINTable!AO99)</f>
        <v>1424.8600092749832</v>
      </c>
      <c r="R130" s="46"/>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row>
    <row r="131" spans="1:40">
      <c r="A131" t="s">
        <v>1088</v>
      </c>
      <c r="B131" s="86" t="s">
        <v>1089</v>
      </c>
      <c r="C131" t="str">
        <f t="shared" ref="C131:C141" si="42">+CONCATENATE(A$129,B131)</f>
        <v>Adelaide2+1</v>
      </c>
      <c r="D131" s="46">
        <f t="shared" ref="D131:D132" si="43">+E131</f>
        <v>724.26272184284574</v>
      </c>
      <c r="E131" s="46">
        <f>IF(+DropINTable!AC100=0,DropINTable!AD100,DropINTable!AC100)</f>
        <v>724.26272184284574</v>
      </c>
      <c r="F131" s="46">
        <f>IF(+DropINTable!AD100=0,DropINTable!AE100,DropINTable!AD100)</f>
        <v>724.26272184284574</v>
      </c>
      <c r="G131" s="46">
        <f>IF(+DropINTable!AE100=0,DropINTable!AF100,DropINTable!AE100)</f>
        <v>749.22454323520242</v>
      </c>
      <c r="H131" s="46">
        <f>IF(+DropINTable!AF100=0,DropINTable!AG100,DropINTable!AF100)</f>
        <v>790.08728156547727</v>
      </c>
      <c r="I131" s="46">
        <f>IF(+DropINTable!AG100=0,DropINTable!AH100,DropINTable!AG100)</f>
        <v>853.29981986636415</v>
      </c>
      <c r="J131" s="46">
        <f>IF(+DropINTable!AH100=0,DropINTable!AI100,DropINTable!AH100)</f>
        <v>940.94558256620394</v>
      </c>
      <c r="K131" s="46">
        <f>IF(+DropINTable!AI100=0,DropINTable!AJ100,DropINTable!AI100)</f>
        <v>1015.2452673331455</v>
      </c>
      <c r="L131" s="46">
        <f>IF(+DropINTable!AJ100=0,DropINTable!AK100,DropINTable!AJ100)</f>
        <v>1097.9233556895183</v>
      </c>
      <c r="M131" s="46">
        <f>IF(+DropINTable!AK100=0,DropINTable!AL100,DropINTable!AK100)</f>
        <v>1146.5151922959446</v>
      </c>
      <c r="N131" s="46">
        <f>IF(+DropINTable!AL100=0,DropINTable!AM100,DropINTable!AL100)</f>
        <v>1212.8185861900356</v>
      </c>
      <c r="O131" s="46">
        <f>IF(+DropINTable!AM100=0,DropINTable!AN100,DropINTable!AM100)</f>
        <v>1329.8369595457875</v>
      </c>
      <c r="P131" s="46">
        <f>IF(+DropINTable!AN100=0,DropINTable!AO100,DropINTable!AN100)</f>
        <v>1502.8876403393851</v>
      </c>
      <c r="Q131" s="46">
        <f>IF(+DropINTable!AO100=0,DropINTable!AP100,DropINTable!AO100)</f>
        <v>1517.7788310032186</v>
      </c>
      <c r="R131" s="46"/>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row>
    <row r="132" spans="1:40">
      <c r="A132" t="s">
        <v>1090</v>
      </c>
      <c r="B132" s="86" t="s">
        <v>1091</v>
      </c>
      <c r="C132" t="str">
        <f t="shared" si="42"/>
        <v>Adelaide2+2</v>
      </c>
      <c r="D132" s="46">
        <f t="shared" si="43"/>
        <v>790.22274862820746</v>
      </c>
      <c r="E132" s="46">
        <f>IF(+DropINTable!AC101=0,DropINTable!AD101,DropINTable!AC101)</f>
        <v>790.22274862820746</v>
      </c>
      <c r="F132" s="46">
        <f>IF(+DropINTable!AD101=0,DropINTable!AE101,DropINTable!AD101)</f>
        <v>790.22274862820746</v>
      </c>
      <c r="G132" s="46">
        <f>IF(+DropINTable!AE101=0,DropINTable!AF101,DropINTable!AE101)</f>
        <v>815.02160909454631</v>
      </c>
      <c r="H132" s="46">
        <f>IF(+DropINTable!AF101=0,DropINTable!AG101,DropINTable!AF101)</f>
        <v>855.61757690283252</v>
      </c>
      <c r="I132" s="46">
        <f>IF(+DropINTable!AG101=0,DropINTable!AH101,DropINTable!AG101)</f>
        <v>918.41743973643224</v>
      </c>
      <c r="J132" s="46">
        <f>IF(+DropINTable!AH101=0,DropINTable!AI101,DropINTable!AH101)</f>
        <v>1005.491014386781</v>
      </c>
      <c r="K132" s="46">
        <f>IF(+DropINTable!AI101=0,DropINTable!AJ101,DropINTable!AI101)</f>
        <v>1079.3056365243926</v>
      </c>
      <c r="L132" s="46">
        <f>IF(+DropINTable!AJ101=0,DropINTable!AK101,DropINTable!AJ101)</f>
        <v>1161.4439658653375</v>
      </c>
      <c r="M132" s="46">
        <f>IF(+DropINTable!AK101=0,DropINTable!AL101,DropINTable!AK101)</f>
        <v>1209.7185748691863</v>
      </c>
      <c r="N132" s="46">
        <f>IF(+DropINTable!AL101=0,DropINTable!AM101,DropINTable!AL101)</f>
        <v>1275.5891106668746</v>
      </c>
      <c r="O132" s="46">
        <f>IF(+DropINTable!AM101=0,DropINTable!AN101,DropINTable!AM101)</f>
        <v>1391.8435402908251</v>
      </c>
      <c r="P132" s="46">
        <f>IF(+DropINTable!AN101=0,DropINTable!AO101,DropINTable!AN101)</f>
        <v>1563.7644697530784</v>
      </c>
      <c r="Q132" s="46">
        <f>IF(+DropINTable!AO101=0,DropINTable!AP101,DropINTable!AO101)</f>
        <v>1578.5584440282821</v>
      </c>
      <c r="R132" s="46"/>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row>
    <row r="133" spans="1:40">
      <c r="A133" t="s">
        <v>1092</v>
      </c>
      <c r="B133" s="86" t="s">
        <v>1093</v>
      </c>
      <c r="C133" t="str">
        <f t="shared" si="42"/>
        <v>Adelaide2+3</v>
      </c>
      <c r="D133" s="46">
        <f t="shared" ref="D133" si="44">+F133</f>
        <v>882.30398436067014</v>
      </c>
      <c r="E133" s="46">
        <f>+F133</f>
        <v>882.30398436067014</v>
      </c>
      <c r="F133" s="46">
        <f>IF(+DropINTable!AD102=0,DropINTable!AE102,DropINTable!AD102)</f>
        <v>882.30398436067014</v>
      </c>
      <c r="G133" s="46">
        <f>IF(+DropINTable!AE102=0,DropINTable!AF102,DropINTable!AE102)</f>
        <v>882.30398436067014</v>
      </c>
      <c r="H133" s="46">
        <f>IF(+DropINTable!AF102=0,DropINTable!AG102,DropINTable!AF102)</f>
        <v>922.88520631958374</v>
      </c>
      <c r="I133" s="46">
        <f>IF(+DropINTable!AG102=0,DropINTable!AH102,DropINTable!AG102)</f>
        <v>985.66225812352377</v>
      </c>
      <c r="J133" s="46">
        <f>IF(+DropINTable!AH102=0,DropINTable!AI102,DropINTable!AH102)</f>
        <v>1072.7042045182318</v>
      </c>
      <c r="K133" s="46">
        <f>IF(+DropINTable!AI102=0,DropINTable!AJ102,DropINTable!AI102)</f>
        <v>1146.4920171516808</v>
      </c>
      <c r="L133" s="46">
        <f>IF(+DropINTable!AJ102=0,DropINTable!AK102,DropINTable!AJ102)</f>
        <v>1228.6005115748765</v>
      </c>
      <c r="M133" s="46">
        <f>IF(+DropINTable!AK102=0,DropINTable!AL102,DropINTable!AK102)</f>
        <v>1276.8575822606024</v>
      </c>
      <c r="N133" s="46">
        <f>IF(+DropINTable!AL102=0,DropINTable!AM102,DropINTable!AL102)</f>
        <v>1342.7041954320068</v>
      </c>
      <c r="O133" s="46">
        <f>IF(+DropINTable!AM102=0,DropINTable!AN102,DropINTable!AM102)</f>
        <v>1458.9163959492353</v>
      </c>
      <c r="P133" s="46">
        <f>IF(+DropINTable!AN102=0,DropINTable!AO102,DropINTable!AN102)</f>
        <v>1630.7748817821494</v>
      </c>
      <c r="Q133" s="46">
        <f>IF(+DropINTable!AO102=0,DropINTable!AP102,DropINTable!AO102)</f>
        <v>1645.5634806494434</v>
      </c>
      <c r="R133" s="46"/>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row>
    <row r="134" spans="1:40">
      <c r="B134" s="86" t="s">
        <v>1094</v>
      </c>
      <c r="C134" t="str">
        <f t="shared" ref="C134:C136" si="45">+CONCATENATE(A$129,B134)</f>
        <v>Adelaide2+4</v>
      </c>
      <c r="D134" s="46">
        <f>+D133+Per_child_accounting!$AD$73</f>
        <v>971.84583475064301</v>
      </c>
      <c r="E134" s="46">
        <f>+E133+Per_child_accounting!$AD$73</f>
        <v>971.84583475064301</v>
      </c>
      <c r="F134" s="46">
        <f>+F133+Per_child_accounting!AD$73</f>
        <v>971.84583475064301</v>
      </c>
      <c r="G134" s="46">
        <f>+G133+Per_child_accounting!AE$73</f>
        <v>971.95206535733541</v>
      </c>
      <c r="H134" s="46">
        <f>+H133+Per_child_accounting!AF$73</f>
        <v>1012.7071870666886</v>
      </c>
      <c r="I134" s="46">
        <f>+I133+Per_child_accounting!AG$73</f>
        <v>1075.7532520378666</v>
      </c>
      <c r="J134" s="46">
        <f>+J133+Per_child_accounting!AH$73</f>
        <v>1163.1681919569974</v>
      </c>
      <c r="K134" s="46">
        <f>+K133+Per_child_accounting!AI$73</f>
        <v>1237.2722038711604</v>
      </c>
      <c r="L134" s="46">
        <f>+L133+Per_child_accounting!AJ$73</f>
        <v>1319.7325505417502</v>
      </c>
      <c r="M134" s="46">
        <f>+M133+Per_child_accounting!AK$73</f>
        <v>1368.196416682217</v>
      </c>
      <c r="N134" s="46">
        <f>+N133+Per_child_accounting!AL$73</f>
        <v>1434.3251969237544</v>
      </c>
      <c r="O134" s="46">
        <f>+O133+Per_child_accounting!AM$73</f>
        <v>1551.0353910557633</v>
      </c>
      <c r="P134" s="46">
        <f>+P133+Per_child_accounting!AN$73</f>
        <v>1723.6303304599899</v>
      </c>
      <c r="Q134" s="46">
        <f>+Q133+Per_child_accounting!AO$73</f>
        <v>1738.4823023776787</v>
      </c>
      <c r="R134" s="46"/>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row>
    <row r="135" spans="1:40">
      <c r="B135" s="86" t="s">
        <v>1095</v>
      </c>
      <c r="C135" t="str">
        <f t="shared" si="45"/>
        <v>Adelaide2+5</v>
      </c>
      <c r="D135" s="46">
        <f>+D134+Per_child_accounting!$AD$73</f>
        <v>1061.3876851406158</v>
      </c>
      <c r="E135" s="46">
        <f>+E134+Per_child_accounting!$AD$73</f>
        <v>1061.3876851406158</v>
      </c>
      <c r="F135" s="46">
        <f>+F134+Per_child_accounting!$AD$73</f>
        <v>1061.3876851406158</v>
      </c>
      <c r="G135" s="46">
        <f>+G134+Per_child_accounting!AE$73</f>
        <v>1061.6001463540006</v>
      </c>
      <c r="H135" s="46">
        <f>+H134+Per_child_accounting!AF$73</f>
        <v>1102.5291678137933</v>
      </c>
      <c r="I135" s="46">
        <f>+I134+Per_child_accounting!AG$73</f>
        <v>1165.8442459522093</v>
      </c>
      <c r="J135" s="46">
        <f>+J134+Per_child_accounting!AH$73</f>
        <v>1253.6321793957627</v>
      </c>
      <c r="K135" s="46">
        <f>+K134+Per_child_accounting!AI$73</f>
        <v>1328.0523905906398</v>
      </c>
      <c r="L135" s="46">
        <f>+L134+Per_child_accounting!AJ$73</f>
        <v>1410.864589508624</v>
      </c>
      <c r="M135" s="46">
        <f>+M134+Per_child_accounting!AK$73</f>
        <v>1459.5352511038316</v>
      </c>
      <c r="N135" s="46">
        <f>+N134+Per_child_accounting!AL$73</f>
        <v>1525.9461984155021</v>
      </c>
      <c r="O135" s="46">
        <f>+O134+Per_child_accounting!AM$73</f>
        <v>1643.1543861622913</v>
      </c>
      <c r="P135" s="46">
        <f>+P134+Per_child_accounting!AN$73</f>
        <v>1816.4857791378304</v>
      </c>
      <c r="Q135" s="46">
        <f>+Q134+Per_child_accounting!AO$73</f>
        <v>1831.4011241059141</v>
      </c>
      <c r="R135" s="46"/>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row>
    <row r="136" spans="1:40">
      <c r="B136" s="86" t="s">
        <v>1096</v>
      </c>
      <c r="C136" t="str">
        <f t="shared" si="45"/>
        <v>Adelaide2+6</v>
      </c>
      <c r="D136" s="46">
        <f>+D135+Per_child_accounting!$AD$73</f>
        <v>1150.9295355305885</v>
      </c>
      <c r="E136" s="46">
        <f>+E135+Per_child_accounting!$AD$73</f>
        <v>1150.9295355305885</v>
      </c>
      <c r="F136" s="46">
        <f>+F135+Per_child_accounting!$AD$73</f>
        <v>1150.9295355305885</v>
      </c>
      <c r="G136" s="46">
        <f>+G135+Per_child_accounting!AE$73</f>
        <v>1151.2482273506657</v>
      </c>
      <c r="H136" s="46">
        <f>+H135+Per_child_accounting!AF$73</f>
        <v>1192.3511485608981</v>
      </c>
      <c r="I136" s="46">
        <f>+I135+Per_child_accounting!AG$73</f>
        <v>1255.9352398665521</v>
      </c>
      <c r="J136" s="46">
        <f>+J135+Per_child_accounting!AH$73</f>
        <v>1344.096166834528</v>
      </c>
      <c r="K136" s="46">
        <f>+K135+Per_child_accounting!AI$73</f>
        <v>1418.8325773101192</v>
      </c>
      <c r="L136" s="46">
        <f>+L135+Per_child_accounting!AJ$73</f>
        <v>1501.9966284754978</v>
      </c>
      <c r="M136" s="46">
        <f>+M135+Per_child_accounting!AK$73</f>
        <v>1550.8740855254462</v>
      </c>
      <c r="N136" s="46">
        <f>+N135+Per_child_accounting!AL$73</f>
        <v>1617.5671999072497</v>
      </c>
      <c r="O136" s="46">
        <f>+O135+Per_child_accounting!AM$73</f>
        <v>1735.2733812688193</v>
      </c>
      <c r="P136" s="46">
        <f>+P135+Per_child_accounting!AN$73</f>
        <v>1909.3412278156709</v>
      </c>
      <c r="Q136" s="46">
        <f>+Q135+Per_child_accounting!AO$73</f>
        <v>1924.3199458341494</v>
      </c>
      <c r="R136" s="46"/>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row>
    <row r="137" spans="1:40">
      <c r="B137" s="86"/>
      <c r="D137" s="46"/>
      <c r="E137" s="46"/>
      <c r="F137" s="46"/>
      <c r="G137" s="46"/>
      <c r="H137" s="46"/>
      <c r="I137" s="46"/>
      <c r="J137" s="46"/>
      <c r="K137" s="46"/>
      <c r="L137" s="46"/>
      <c r="M137" s="46"/>
      <c r="N137" s="46"/>
      <c r="O137" s="46"/>
      <c r="P137" s="46"/>
      <c r="Q137" s="46"/>
      <c r="R137" s="46"/>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row>
    <row r="138" spans="1:40">
      <c r="A138" t="s">
        <v>1097</v>
      </c>
      <c r="B138" s="86" t="s">
        <v>1098</v>
      </c>
      <c r="C138" t="str">
        <f t="shared" si="42"/>
        <v>Adelaide1+0</v>
      </c>
      <c r="D138" s="46">
        <f>IF(+DropINTable!AB104=0,DropINTable!AC104,DropINTable!AB104)</f>
        <v>332.42480170087873</v>
      </c>
      <c r="E138" s="46">
        <f>IF(+DropINTable!AC104=0,DropINTable!AD104,DropINTable!AC104)</f>
        <v>347.82848393674431</v>
      </c>
      <c r="F138" s="46">
        <f>IF(+DropINTable!AD104=0,DropINTable!AE104,DropINTable!AD104)</f>
        <v>362.5873459864012</v>
      </c>
      <c r="G138" s="46">
        <f>IF(+DropINTable!AE104=0,DropINTable!AF104,DropINTable!AE104)</f>
        <v>387.48581071752409</v>
      </c>
      <c r="H138" s="46">
        <f>IF(+DropINTable!AF104=0,DropINTable!AG104,DropINTable!AF104)</f>
        <v>428.2448335083003</v>
      </c>
      <c r="I138" s="46">
        <f>IF(+DropINTable!AG104=0,DropINTable!AH104,DropINTable!AG104)</f>
        <v>491.29693198611886</v>
      </c>
      <c r="J138" s="46">
        <f>IF(+DropINTable!AH104=0,DropINTable!AI104,DropINTable!AH104)</f>
        <v>578.7202388362532</v>
      </c>
      <c r="K138" s="46">
        <f>IF(+DropINTable!AI104=0,DropINTable!AJ104,DropINTable!AI104)</f>
        <v>652.83134041552182</v>
      </c>
      <c r="L138" s="46">
        <f>IF(+DropINTable!AJ104=0,DropINTable!AK104,DropINTable!AJ104)</f>
        <v>735.29958199203486</v>
      </c>
      <c r="M138" s="46">
        <f>IF(+DropINTable!AK104=0,DropINTable!AL104,DropINTable!AK104)</f>
        <v>783.76808370271874</v>
      </c>
      <c r="N138" s="46">
        <f>IF(+DropINTable!AL104=0,DropINTable!AM104,DropINTable!AL104)</f>
        <v>849.90319095973121</v>
      </c>
      <c r="O138" s="46">
        <f>IF(+DropINTable!AM104=0,DropINTable!AN104,DropINTable!AM104)</f>
        <v>966.6245596001944</v>
      </c>
      <c r="P138" s="46">
        <f>IF(+DropINTable!AN104=0,DropINTable!AO104,DropINTable!AN104)</f>
        <v>1139.2360135855481</v>
      </c>
      <c r="Q138" s="46">
        <f>IF(+DropINTable!AO104=0,DropINTable!AP104,DropINTable!AO104)</f>
        <v>1154.0894087342265</v>
      </c>
      <c r="R138" s="46"/>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row>
    <row r="139" spans="1:40">
      <c r="A139" t="s">
        <v>1099</v>
      </c>
      <c r="B139" s="86" t="s">
        <v>1100</v>
      </c>
      <c r="C139" t="str">
        <f t="shared" si="42"/>
        <v>Adelaide1+1</v>
      </c>
      <c r="D139" s="46">
        <f>IF(+DropINTable!AB105=0,DropINTable!AC105,DropINTable!AB105)</f>
        <v>444.91578874767737</v>
      </c>
      <c r="E139" s="46">
        <f>IF(+DropINTable!AC105=0,DropINTable!AD105,DropINTable!AC105)</f>
        <v>444.91578874767737</v>
      </c>
      <c r="F139" s="46">
        <f>IF(+DropINTable!AD105=0,DropINTable!AE105,DropINTable!AD105)</f>
        <v>459.57663811523793</v>
      </c>
      <c r="G139" s="46">
        <f>IF(+DropINTable!AE105=0,DropINTable!AF105,DropINTable!AE105)</f>
        <v>484.30975562447901</v>
      </c>
      <c r="H139" s="46">
        <f>IF(+DropINTable!AF105=0,DropINTable!AG105,DropINTable!AF105)</f>
        <v>524.79810287193607</v>
      </c>
      <c r="I139" s="46">
        <f>IF(+DropINTable!AG105=0,DropINTable!AH105,DropINTable!AG105)</f>
        <v>587.43147763765148</v>
      </c>
      <c r="J139" s="46">
        <f>IF(+DropINTable!AH105=0,DropINTable!AI105,DropINTable!AH105)</f>
        <v>674.27421227250579</v>
      </c>
      <c r="K139" s="46">
        <f>IF(+DropINTable!AI105=0,DropINTable!AJ105,DropINTable!AI105)</f>
        <v>747.89314854271606</v>
      </c>
      <c r="L139" s="46">
        <f>IF(+DropINTable!AJ105=0,DropINTable!AK105,DropINTable!AJ105)</f>
        <v>829.81372570102656</v>
      </c>
      <c r="M139" s="46">
        <f>IF(+DropINTable!AK105=0,DropINTable!AL105,DropINTable!AK105)</f>
        <v>877.96035252890852</v>
      </c>
      <c r="N139" s="46">
        <f>IF(+DropINTable!AL105=0,DropINTable!AM105,DropINTable!AL105)</f>
        <v>943.65626241257905</v>
      </c>
      <c r="O139" s="46">
        <f>IF(+DropINTable!AM105=0,DropINTable!AN105,DropINTable!AM105)</f>
        <v>1059.6024927309838</v>
      </c>
      <c r="P139" s="46">
        <f>IF(+DropINTable!AN105=0,DropINTable!AO105,DropINTable!AN105)</f>
        <v>1231.0676490009992</v>
      </c>
      <c r="Q139" s="46">
        <f>IF(+DropINTable!AO105=0,DropINTable!AP105,DropINTable!AO105)</f>
        <v>1245.8224064300355</v>
      </c>
      <c r="R139" s="46"/>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row>
    <row r="140" spans="1:40">
      <c r="A140" t="s">
        <v>1101</v>
      </c>
      <c r="B140" s="86" t="s">
        <v>1102</v>
      </c>
      <c r="C140" t="str">
        <f t="shared" si="42"/>
        <v>Adelaide1+2</v>
      </c>
      <c r="D140" s="46">
        <f>IF(+DropINTable!AB106=0,DropINTable!AC106,DropINTable!AB106)</f>
        <v>555.11208385207135</v>
      </c>
      <c r="E140" s="46">
        <f>IF(+DropINTable!AC106=0,DropINTable!AD106,DropINTable!AC106)</f>
        <v>555.11208385207135</v>
      </c>
      <c r="F140" s="46">
        <f>IF(+DropINTable!AD106=0,DropINTable!AE106,DropINTable!AD106)</f>
        <v>569.7519592071086</v>
      </c>
      <c r="G140" s="46">
        <f>IF(+DropINTable!AE106=0,DropINTable!AF106,DropINTable!AE106)</f>
        <v>594.44969082405453</v>
      </c>
      <c r="H140" s="46">
        <f>IF(+DropINTable!AF106=0,DropINTable!AG106,DropINTable!AF106)</f>
        <v>634.88011347668316</v>
      </c>
      <c r="I140" s="46">
        <f>IF(+DropINTable!AG106=0,DropINTable!AH106,DropINTable!AG106)</f>
        <v>697.4238813894093</v>
      </c>
      <c r="J140" s="46">
        <f>IF(+DropINTable!AH106=0,DropINTable!AI106,DropINTable!AH106)</f>
        <v>784.14238018629544</v>
      </c>
      <c r="K140" s="46">
        <f>IF(+DropINTable!AI106=0,DropINTable!AJ106,DropINTable!AI106)</f>
        <v>857.65599454743608</v>
      </c>
      <c r="L140" s="46">
        <f>IF(+DropINTable!AJ106=0,DropINTable!AK106,DropINTable!AJ106)</f>
        <v>939.45937751241945</v>
      </c>
      <c r="M140" s="46">
        <f>IF(+DropINTable!AK106=0,DropINTable!AL106,DropINTable!AK106)</f>
        <v>987.53712462392468</v>
      </c>
      <c r="N140" s="46">
        <f>IF(+DropINTable!AL106=0,DropINTable!AM106,DropINTable!AL106)</f>
        <v>1053.1390470958684</v>
      </c>
      <c r="O140" s="46">
        <f>IF(+DropINTable!AM106=0,DropINTable!AN106,DropINTable!AM106)</f>
        <v>1168.9194056127315</v>
      </c>
      <c r="P140" s="46">
        <f>IF(+DropINTable!AN106=0,DropINTable!AO106,DropINTable!AN106)</f>
        <v>1340.1392594616755</v>
      </c>
      <c r="Q140" s="46">
        <f>IF(+DropINTable!AO106=0,DropINTable!AP106,DropINTable!AO106)</f>
        <v>1354.8729090030392</v>
      </c>
      <c r="R140" s="46"/>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row>
    <row r="141" spans="1:40">
      <c r="A141" t="s">
        <v>1103</v>
      </c>
      <c r="B141" s="86" t="s">
        <v>1104</v>
      </c>
      <c r="C141" t="str">
        <f t="shared" si="42"/>
        <v>Adelaide1+3</v>
      </c>
      <c r="D141" s="46">
        <f t="shared" ref="D141" si="46">+E141</f>
        <v>679.92728029897921</v>
      </c>
      <c r="E141" s="46">
        <f>IF(+DropINTable!AC107=0,DropINTable!AD107,DropINTable!AC107)</f>
        <v>679.92728029897921</v>
      </c>
      <c r="F141" s="46">
        <f>IF(+DropINTable!AD107=0,DropINTable!AE107,DropINTable!AD107)</f>
        <v>679.92728029897921</v>
      </c>
      <c r="G141" s="46">
        <f>IF(+DropINTable!AE107=0,DropINTable!AF107,DropINTable!AE107)</f>
        <v>704.58962602362999</v>
      </c>
      <c r="H141" s="46">
        <f>IF(+DropINTable!AF107=0,DropINTable!AG107,DropINTable!AF107)</f>
        <v>744.96212408143026</v>
      </c>
      <c r="I141" s="46">
        <f>IF(+DropINTable!AG107=0,DropINTable!AH107,DropINTable!AG107)</f>
        <v>807.41628514116712</v>
      </c>
      <c r="J141" s="46">
        <f>IF(+DropINTable!AH107=0,DropINTable!AI107,DropINTable!AH107)</f>
        <v>894.01054810008509</v>
      </c>
      <c r="K141" s="46">
        <f>IF(+DropINTable!AI107=0,DropINTable!AJ107,DropINTable!AI107)</f>
        <v>967.4188405521561</v>
      </c>
      <c r="L141" s="46">
        <f>IF(+DropINTable!AJ107=0,DropINTable!AK107,DropINTable!AJ107)</f>
        <v>1049.1050293238122</v>
      </c>
      <c r="M141" s="46">
        <f>IF(+DropINTable!AK107=0,DropINTable!AL107,DropINTable!AK107)</f>
        <v>1097.1138967189409</v>
      </c>
      <c r="N141" s="46">
        <f>IF(+DropINTable!AL107=0,DropINTable!AM107,DropINTable!AL107)</f>
        <v>1162.6218317791577</v>
      </c>
      <c r="O141" s="46">
        <f>IF(+DropINTable!AM107=0,DropINTable!AN107,DropINTable!AM107)</f>
        <v>1278.2363184944791</v>
      </c>
      <c r="P141" s="46">
        <f>IF(+DropINTable!AN107=0,DropINTable!AO107,DropINTable!AN107)</f>
        <v>1449.2108699223518</v>
      </c>
      <c r="Q141" s="46">
        <f>IF(+DropINTable!AO107=0,DropINTable!AP107,DropINTable!AO107)</f>
        <v>1463.923411576043</v>
      </c>
      <c r="R141" s="46"/>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row>
    <row r="142" spans="1:40">
      <c r="B142" s="86" t="s">
        <v>1105</v>
      </c>
      <c r="C142" t="str">
        <f t="shared" ref="C142:C143" si="47">+CONCATENATE(A$129,B142)</f>
        <v>Adelaide1+4</v>
      </c>
      <c r="D142" s="46">
        <f>+D141+Per_child_accounting!AC$76</f>
        <v>777.01458510991233</v>
      </c>
      <c r="E142" s="46">
        <f>+E141+Per_child_accounting!AC$76</f>
        <v>777.01458510991233</v>
      </c>
      <c r="F142" s="46">
        <f>+F141+Per_child_accounting!AD$76</f>
        <v>776.91657242781594</v>
      </c>
      <c r="G142" s="46">
        <f>+G141+Per_child_accounting!AE$76</f>
        <v>801.41357093058491</v>
      </c>
      <c r="H142" s="46">
        <f>+H141+Per_child_accounting!AF$76</f>
        <v>841.51539344506602</v>
      </c>
      <c r="I142" s="46">
        <f>+I141+Per_child_accounting!AG$76</f>
        <v>903.5508307926998</v>
      </c>
      <c r="J142" s="46">
        <f>+J141+Per_child_accounting!AH$76</f>
        <v>989.56452153633768</v>
      </c>
      <c r="K142" s="46">
        <f>+K141+Per_child_accounting!AI$76</f>
        <v>1062.4806486793505</v>
      </c>
      <c r="L142" s="46">
        <f>+L141+Per_child_accounting!AJ$76</f>
        <v>1143.6191730328039</v>
      </c>
      <c r="M142" s="46">
        <f>+M141+Per_child_accounting!AK$76</f>
        <v>1191.3061655451306</v>
      </c>
      <c r="N142" s="46">
        <f>+N141+Per_child_accounting!AL$76</f>
        <v>1256.3749032320056</v>
      </c>
      <c r="O142" s="46">
        <f>+O141+Per_child_accounting!AM$76</f>
        <v>1371.2142516252684</v>
      </c>
      <c r="P142" s="46">
        <f>+P141+Per_child_accounting!AN$76</f>
        <v>1541.0425053378028</v>
      </c>
      <c r="Q142" s="46">
        <f>+Q141+Per_child_accounting!AO$76</f>
        <v>1555.656409271852</v>
      </c>
      <c r="R142" s="46"/>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row>
    <row r="143" spans="1:40">
      <c r="B143" s="86" t="s">
        <v>1106</v>
      </c>
      <c r="C143" t="str">
        <f t="shared" si="47"/>
        <v>Adelaide1+5</v>
      </c>
      <c r="D143" s="46">
        <f>+D142+Per_child_accounting!AC$76</f>
        <v>874.10188992084545</v>
      </c>
      <c r="E143" s="46">
        <f>+E142+Per_child_accounting!AC$76</f>
        <v>874.10188992084545</v>
      </c>
      <c r="F143" s="46">
        <f>+F142+Per_child_accounting!AD$76</f>
        <v>873.90586455665266</v>
      </c>
      <c r="G143" s="46">
        <f>+G142+Per_child_accounting!AE$76</f>
        <v>898.23751583753983</v>
      </c>
      <c r="H143" s="46">
        <f>+H142+Per_child_accounting!AF$76</f>
        <v>938.06866280870179</v>
      </c>
      <c r="I143" s="46">
        <f>+I142+Per_child_accounting!AG$76</f>
        <v>999.68537644423236</v>
      </c>
      <c r="J143" s="46">
        <f>+J142+Per_child_accounting!AH$76</f>
        <v>1085.1184949725903</v>
      </c>
      <c r="K143" s="46">
        <f>+K142+Per_child_accounting!AI$76</f>
        <v>1157.5424568065446</v>
      </c>
      <c r="L143" s="46">
        <f>+L142+Per_child_accounting!AJ$76</f>
        <v>1238.1333167417956</v>
      </c>
      <c r="M143" s="46">
        <f>+M142+Per_child_accounting!AK$76</f>
        <v>1285.4984343713204</v>
      </c>
      <c r="N143" s="46">
        <f>+N142+Per_child_accounting!AL$76</f>
        <v>1350.1279746848536</v>
      </c>
      <c r="O143" s="46">
        <f>+O142+Per_child_accounting!AM$76</f>
        <v>1464.1921847560579</v>
      </c>
      <c r="P143" s="46">
        <f>+P142+Per_child_accounting!AN$76</f>
        <v>1632.8741407532539</v>
      </c>
      <c r="Q143" s="46">
        <f>+Q142+Per_child_accounting!AO$76</f>
        <v>1647.389406967661</v>
      </c>
      <c r="R143" s="46"/>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row>
    <row r="144" spans="1:40">
      <c r="B144" s="86" t="s">
        <v>1107</v>
      </c>
      <c r="C144" t="str">
        <f t="shared" ref="C144" si="48">+CONCATENATE(A$129,B144)</f>
        <v>Adelaide1+6</v>
      </c>
      <c r="D144" s="46">
        <f>+D143+Per_child_accounting!AC$76</f>
        <v>971.18919473177857</v>
      </c>
      <c r="E144" s="46">
        <f>+E143+Per_child_accounting!AC$76</f>
        <v>971.18919473177857</v>
      </c>
      <c r="F144" s="46">
        <f>+F143+Per_child_accounting!AD$76</f>
        <v>970.89515668548938</v>
      </c>
      <c r="G144" s="46">
        <f>+G143+Per_child_accounting!AE$76</f>
        <v>995.06146074449475</v>
      </c>
      <c r="H144" s="46">
        <f>+H143+Per_child_accounting!AF$76</f>
        <v>1034.6219321723374</v>
      </c>
      <c r="I144" s="46">
        <f>+I143+Per_child_accounting!AG$76</f>
        <v>1095.8199220957649</v>
      </c>
      <c r="J144" s="46">
        <f>+J143+Per_child_accounting!AH$76</f>
        <v>1180.6724684088429</v>
      </c>
      <c r="K144" s="46">
        <f>+K143+Per_child_accounting!AI$76</f>
        <v>1252.6042649337387</v>
      </c>
      <c r="L144" s="46">
        <f>+L143+Per_child_accounting!AJ$76</f>
        <v>1332.6474604507873</v>
      </c>
      <c r="M144" s="46">
        <f>+M143+Per_child_accounting!AK$76</f>
        <v>1379.6907031975102</v>
      </c>
      <c r="N144" s="46">
        <f>+N143+Per_child_accounting!AL$76</f>
        <v>1443.8810461377016</v>
      </c>
      <c r="O144" s="46">
        <f>+O143+Per_child_accounting!AM$76</f>
        <v>1557.1701178868475</v>
      </c>
      <c r="P144" s="46">
        <f>+P143+Per_child_accounting!AN$76</f>
        <v>1724.7057761687049</v>
      </c>
      <c r="Q144" s="46">
        <f>+Q143+Per_child_accounting!AO$76</f>
        <v>1739.12240466347</v>
      </c>
      <c r="R144" s="46"/>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row>
    <row r="145" spans="1:40">
      <c r="D145" s="46"/>
      <c r="E145" s="46"/>
      <c r="F145" s="46"/>
      <c r="G145" s="46"/>
      <c r="H145" s="46"/>
      <c r="I145" s="46"/>
      <c r="J145" s="46"/>
      <c r="K145" s="46"/>
      <c r="L145" s="46"/>
      <c r="M145" s="46"/>
      <c r="N145" s="46"/>
      <c r="O145" s="46"/>
      <c r="P145" s="46"/>
      <c r="Q145" s="46"/>
      <c r="R145" s="46"/>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row>
    <row r="146" spans="1:40" ht="28.5">
      <c r="A146" s="369" t="s">
        <v>240</v>
      </c>
      <c r="B146" s="369"/>
      <c r="C146" s="369"/>
      <c r="D146" s="46"/>
      <c r="E146" s="46"/>
      <c r="F146" s="46"/>
      <c r="G146" s="46"/>
      <c r="H146" s="46"/>
      <c r="I146" s="46"/>
      <c r="J146" s="46"/>
      <c r="K146" s="46"/>
      <c r="L146" s="46"/>
      <c r="M146" s="46"/>
      <c r="N146" s="46"/>
      <c r="O146" s="46"/>
      <c r="P146" s="46"/>
      <c r="Q146" s="46"/>
      <c r="R146" s="46"/>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row>
    <row r="147" spans="1:40">
      <c r="A147" t="s">
        <v>1086</v>
      </c>
      <c r="B147" s="86" t="s">
        <v>1087</v>
      </c>
      <c r="C147" t="str">
        <f>+CONCATENATE(A$146,B147)</f>
        <v>Balance of SA2+0</v>
      </c>
      <c r="D147" s="46">
        <f>IF(+DropINTable!AB111=0,DropINTable!AC111,DropINTable!AB111)</f>
        <v>577.49719750158374</v>
      </c>
      <c r="E147" s="46">
        <f>IF(+DropINTable!AC111=0,DropINTable!AD111,DropINTable!AC111)</f>
        <v>577.49719750158374</v>
      </c>
      <c r="F147" s="46">
        <f>IF(+DropINTable!AD111=0,DropINTable!AE111,DropINTable!AD111)</f>
        <v>592.23064560724458</v>
      </c>
      <c r="G147" s="46">
        <f>IF(+DropINTable!AE111=0,DropINTable!AF111,DropINTable!AE111)</f>
        <v>617.08623618220054</v>
      </c>
      <c r="H147" s="46">
        <f>IF(+DropINTable!AF111=0,DropINTable!AG111,DropINTable!AF111)</f>
        <v>657.77507481006489</v>
      </c>
      <c r="I147" s="46">
        <f>IF(+DropINTable!AG111=0,DropINTable!AH111,DropINTable!AG111)</f>
        <v>720.71860092443728</v>
      </c>
      <c r="J147" s="46">
        <f>IF(+DropINTable!AH111=0,DropINTable!AI111,DropINTable!AH111)</f>
        <v>807.99136949561716</v>
      </c>
      <c r="K147" s="46">
        <f>IF(+DropINTable!AI111=0,DropINTable!AJ111,DropINTable!AI111)</f>
        <v>881.9748558091851</v>
      </c>
      <c r="L147" s="46">
        <f>IF(+DropINTable!AJ111=0,DropINTable!AK111,DropINTable!AJ111)</f>
        <v>964.30109023869375</v>
      </c>
      <c r="M147" s="46">
        <f>IF(+DropINTable!AK111=0,DropINTable!AL111,DropINTable!AK111)</f>
        <v>1012.6861317808097</v>
      </c>
      <c r="N147" s="46">
        <f>IF(+DropINTable!AL111=0,DropINTable!AM111,DropINTable!AL111)</f>
        <v>1078.7073594352069</v>
      </c>
      <c r="O147" s="46">
        <f>IF(+DropINTable!AM111=0,DropINTable!AN111,DropINTable!AM111)</f>
        <v>1195.2277393559</v>
      </c>
      <c r="P147" s="46">
        <f>IF(+DropINTable!AN111=0,DropINTable!AO111,DropINTable!AN111)</f>
        <v>1367.5419637646085</v>
      </c>
      <c r="Q147" s="46">
        <f>IF(+DropINTable!AO111=0,DropINTable!AP111,DropINTable!AO111)</f>
        <v>1382.36978254314</v>
      </c>
      <c r="R147" s="46"/>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row>
    <row r="148" spans="1:40">
      <c r="A148" t="s">
        <v>1088</v>
      </c>
      <c r="B148" s="86" t="s">
        <v>1089</v>
      </c>
      <c r="C148" t="str">
        <f t="shared" ref="C148:C158" si="49">+CONCATENATE(A$146,B148)</f>
        <v>Balance of SA2+1</v>
      </c>
      <c r="D148" s="46">
        <f t="shared" ref="D148:D149" si="50">+E148</f>
        <v>681.59089597046318</v>
      </c>
      <c r="E148" s="46">
        <f>IF(+DropINTable!AC112=0,DropINTable!AD112,DropINTable!AC112)</f>
        <v>681.59089597046318</v>
      </c>
      <c r="F148" s="46">
        <f>IF(+DropINTable!AD112=0,DropINTable!AE112,DropINTable!AD112)</f>
        <v>681.59089597046318</v>
      </c>
      <c r="G148" s="46">
        <f>IF(+DropINTable!AE112=0,DropINTable!AF112,DropINTable!AE112)</f>
        <v>706.55271655610841</v>
      </c>
      <c r="H148" s="46">
        <f>IF(+DropINTable!AF112=0,DropINTable!AG112,DropINTable!AF112)</f>
        <v>747.41545580513798</v>
      </c>
      <c r="I148" s="46">
        <f>IF(+DropINTable!AG112=0,DropINTable!AH112,DropINTable!AG112)</f>
        <v>810.62799664567228</v>
      </c>
      <c r="J148" s="46">
        <f>IF(+DropINTable!AH112=0,DropINTable!AI112,DropINTable!AH112)</f>
        <v>898.27375994307613</v>
      </c>
      <c r="K148" s="46">
        <f>IF(+DropINTable!AI112=0,DropINTable!AJ112,DropINTable!AI112)</f>
        <v>972.57344388836702</v>
      </c>
      <c r="L148" s="46">
        <f>IF(+DropINTable!AJ112=0,DropINTable!AK112,DropINTable!AJ112)</f>
        <v>1055.2515332307207</v>
      </c>
      <c r="M148" s="46">
        <f>IF(+DropINTable!AK112=0,DropINTable!AL112,DropINTable!AK112)</f>
        <v>1103.8433647279742</v>
      </c>
      <c r="N148" s="46">
        <f>IF(+DropINTable!AL112=0,DropINTable!AM112,DropINTable!AL112)</f>
        <v>1170.1467602952446</v>
      </c>
      <c r="O148" s="46">
        <f>IF(+DropINTable!AM112=0,DropINTable!AN112,DropINTable!AM112)</f>
        <v>1287.1651376247976</v>
      </c>
      <c r="P148" s="46">
        <f>IF(+DropINTable!AN112=0,DropINTable!AO112,DropINTable!AN112)</f>
        <v>1460.215815311062</v>
      </c>
      <c r="Q148" s="46">
        <f>IF(+DropINTable!AO112=0,DropINTable!AP112,DropINTable!AO112)</f>
        <v>1475.1070061541645</v>
      </c>
      <c r="R148" s="46"/>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row>
    <row r="149" spans="1:40">
      <c r="A149" t="s">
        <v>1090</v>
      </c>
      <c r="B149" s="86" t="s">
        <v>1091</v>
      </c>
      <c r="C149" t="str">
        <f t="shared" si="49"/>
        <v>Balance of SA2+2</v>
      </c>
      <c r="D149" s="46">
        <f t="shared" si="50"/>
        <v>747.82950359724816</v>
      </c>
      <c r="E149" s="46">
        <f>IF(+DropINTable!AC113=0,DropINTable!AD113,DropINTable!AC113)</f>
        <v>747.82950359724816</v>
      </c>
      <c r="F149" s="46">
        <f>IF(+DropINTable!AD113=0,DropINTable!AE113,DropINTable!AD113)</f>
        <v>747.82950359724816</v>
      </c>
      <c r="G149" s="46">
        <f>IF(+DropINTable!AE113=0,DropINTable!AF113,DropINTable!AE113)</f>
        <v>772.62836277247379</v>
      </c>
      <c r="H149" s="46">
        <f>IF(+DropINTable!AF113=0,DropINTable!AG113,DropINTable!AF113)</f>
        <v>813.22433263578171</v>
      </c>
      <c r="I149" s="46">
        <f>IF(+DropINTable!AG113=0,DropINTable!AH113,DropINTable!AG113)</f>
        <v>876.02419381245295</v>
      </c>
      <c r="J149" s="46">
        <f>IF(+DropINTable!AH113=0,DropINTable!AI113,DropINTable!AH113)</f>
        <v>963.09776775268949</v>
      </c>
      <c r="K149" s="46">
        <f>IF(+DropINTable!AI113=0,DropINTable!AJ113,DropINTable!AI113)</f>
        <v>1036.9123915364703</v>
      </c>
      <c r="L149" s="46">
        <f>IF(+DropINTable!AJ113=0,DropINTable!AK113,DropINTable!AJ113)</f>
        <v>1119.0507226849734</v>
      </c>
      <c r="M149" s="46">
        <f>IF(+DropINTable!AK113=0,DropINTable!AL113,DropINTable!AK113)</f>
        <v>1167.3253264167774</v>
      </c>
      <c r="N149" s="46">
        <f>IF(+DropINTable!AL113=0,DropINTable!AM113,DropINTable!AL113)</f>
        <v>1233.1958665396942</v>
      </c>
      <c r="O149" s="46">
        <f>IF(+DropINTable!AM113=0,DropINTable!AN113,DropINTable!AM113)</f>
        <v>1349.4502974547577</v>
      </c>
      <c r="P149" s="46">
        <f>IF(+DropINTable!AN113=0,DropINTable!AO113,DropINTable!AN113)</f>
        <v>1521.3712280359762</v>
      </c>
      <c r="Q149" s="46">
        <f>IF(+DropINTable!AO113=0,DropINTable!AP113,DropINTable!AO113)</f>
        <v>1536.1652010200664</v>
      </c>
      <c r="R149" s="46"/>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row>
    <row r="150" spans="1:40">
      <c r="A150" t="s">
        <v>1092</v>
      </c>
      <c r="B150" s="86" t="s">
        <v>1093</v>
      </c>
      <c r="C150" t="str">
        <f t="shared" si="49"/>
        <v>Balance of SA2+3</v>
      </c>
      <c r="D150" s="46">
        <f t="shared" ref="D150" si="51">+F150</f>
        <v>839.92614042543676</v>
      </c>
      <c r="E150" s="46">
        <f>+F150</f>
        <v>839.92614042543676</v>
      </c>
      <c r="F150" s="46">
        <f>IF(+DropINTable!AD114=0,DropINTable!AE114,DropINTable!AD114)</f>
        <v>839.92614042543676</v>
      </c>
      <c r="G150" s="46">
        <f>IF(+DropINTable!AE114=0,DropINTable!AF114,DropINTable!AE114)</f>
        <v>839.92614042543676</v>
      </c>
      <c r="H150" s="46">
        <f>IF(+DropINTable!AF114=0,DropINTable!AG114,DropINTable!AF114)</f>
        <v>880.50736176718408</v>
      </c>
      <c r="I150" s="46">
        <f>IF(+DropINTable!AG114=0,DropINTable!AH114,DropINTable!AG114)</f>
        <v>943.28441339479104</v>
      </c>
      <c r="J150" s="46">
        <f>IF(+DropINTable!AH114=0,DropINTable!AI114,DropINTable!AH114)</f>
        <v>1030.326360671165</v>
      </c>
      <c r="K150" s="46">
        <f>IF(+DropINTable!AI114=0,DropINTable!AJ114,DropINTable!AI114)</f>
        <v>1104.114170600838</v>
      </c>
      <c r="L150" s="46">
        <f>IF(+DropINTable!AJ114=0,DropINTable!AK114,DropINTable!AJ114)</f>
        <v>1186.2226642011453</v>
      </c>
      <c r="M150" s="46">
        <f>IF(+DropINTable!AK114=0,DropINTable!AL114,DropINTable!AK114)</f>
        <v>1234.4797361212038</v>
      </c>
      <c r="N150" s="46">
        <f>IF(+DropINTable!AL114=0,DropINTable!AM114,DropINTable!AL114)</f>
        <v>1300.3263502330522</v>
      </c>
      <c r="O150" s="46">
        <f>IF(+DropINTable!AM114=0,DropINTable!AN114,DropINTable!AM114)</f>
        <v>1416.5385507502806</v>
      </c>
      <c r="P150" s="46">
        <f>IF(+DropINTable!AN114=0,DropINTable!AO114,DropINTable!AN114)</f>
        <v>1588.3970316458644</v>
      </c>
      <c r="Q150" s="46">
        <f>IF(+DropINTable!AO114=0,DropINTable!AP114,DropINTable!AO114)</f>
        <v>1603.1856354504887</v>
      </c>
      <c r="R150" s="46"/>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row>
    <row r="151" spans="1:40">
      <c r="B151" s="86" t="s">
        <v>1094</v>
      </c>
      <c r="C151" t="str">
        <f t="shared" ref="C151:C153" si="52">+CONCATENATE(A$146,B151)</f>
        <v>Balance of SA2+4</v>
      </c>
      <c r="D151" s="46">
        <f>+D150+Per_child_accounting!$AD$81</f>
        <v>929.28639078865535</v>
      </c>
      <c r="E151" s="46">
        <f>+E150+Per_child_accounting!$AD$81</f>
        <v>929.28639078865535</v>
      </c>
      <c r="F151" s="46">
        <f>+F150+Per_child_accounting!AD$81</f>
        <v>929.28639078865535</v>
      </c>
      <c r="G151" s="46">
        <f>+G150+Per_child_accounting!AE$81</f>
        <v>929.39262079934463</v>
      </c>
      <c r="H151" s="46">
        <f>+H150+Per_child_accounting!AF$81</f>
        <v>970.14774276225717</v>
      </c>
      <c r="I151" s="46">
        <f>+I150+Per_child_accounting!AG$81</f>
        <v>1033.1938091160259</v>
      </c>
      <c r="J151" s="46">
        <f>+J150+Per_child_accounting!AH$81</f>
        <v>1120.608751118624</v>
      </c>
      <c r="K151" s="46">
        <f>+K150+Per_child_accounting!AI$81</f>
        <v>1194.7127586800198</v>
      </c>
      <c r="L151" s="46">
        <f>+L150+Per_child_accounting!AJ$81</f>
        <v>1277.1731071931722</v>
      </c>
      <c r="M151" s="46">
        <f>+M150+Per_child_accounting!AK$81</f>
        <v>1325.6369690683682</v>
      </c>
      <c r="N151" s="46">
        <f>+N150+Per_child_accounting!AL$81</f>
        <v>1391.7657510930899</v>
      </c>
      <c r="O151" s="46">
        <f>+O150+Per_child_accounting!AM$81</f>
        <v>1508.4759490191782</v>
      </c>
      <c r="P151" s="46">
        <f>+P150+Per_child_accounting!AN$81</f>
        <v>1681.070883192318</v>
      </c>
      <c r="Q151" s="46">
        <f>+Q150+Per_child_accounting!AO$81</f>
        <v>1695.9228590615132</v>
      </c>
      <c r="R151" s="46"/>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row>
    <row r="152" spans="1:40">
      <c r="B152" s="86" t="s">
        <v>1095</v>
      </c>
      <c r="C152" t="str">
        <f t="shared" si="52"/>
        <v>Balance of SA2+5</v>
      </c>
      <c r="D152" s="46">
        <f>+D151+Per_child_accounting!$AD$81</f>
        <v>1018.646641151874</v>
      </c>
      <c r="E152" s="46">
        <f>+E151+Per_child_accounting!$AD$81</f>
        <v>1018.646641151874</v>
      </c>
      <c r="F152" s="46">
        <f>+F151+Per_child_accounting!$AD$81</f>
        <v>1018.646641151874</v>
      </c>
      <c r="G152" s="46">
        <f>+G151+Per_child_accounting!AE$81</f>
        <v>1018.8591011732525</v>
      </c>
      <c r="H152" s="46">
        <f>+H151+Per_child_accounting!AF$81</f>
        <v>1059.7881237573301</v>
      </c>
      <c r="I152" s="46">
        <f>+I151+Per_child_accounting!AG$81</f>
        <v>1123.1032048372608</v>
      </c>
      <c r="J152" s="46">
        <f>+J151+Per_child_accounting!AH$81</f>
        <v>1210.891141566083</v>
      </c>
      <c r="K152" s="46">
        <f>+K151+Per_child_accounting!AI$81</f>
        <v>1285.3113467592016</v>
      </c>
      <c r="L152" s="46">
        <f>+L151+Per_child_accounting!AJ$81</f>
        <v>1368.1235501851993</v>
      </c>
      <c r="M152" s="46">
        <f>+M151+Per_child_accounting!AK$81</f>
        <v>1416.7942020155328</v>
      </c>
      <c r="N152" s="46">
        <f>+N151+Per_child_accounting!AL$81</f>
        <v>1483.2051519531276</v>
      </c>
      <c r="O152" s="46">
        <f>+O151+Per_child_accounting!AM$81</f>
        <v>1600.4133472880758</v>
      </c>
      <c r="P152" s="46">
        <f>+P151+Per_child_accounting!AN$81</f>
        <v>1773.7447347387715</v>
      </c>
      <c r="Q152" s="46">
        <f>+Q151+Per_child_accounting!AO$81</f>
        <v>1788.6600826725378</v>
      </c>
      <c r="R152" s="46"/>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row>
    <row r="153" spans="1:40">
      <c r="B153" s="86" t="s">
        <v>1096</v>
      </c>
      <c r="C153" t="str">
        <f t="shared" si="52"/>
        <v>Balance of SA2+6</v>
      </c>
      <c r="D153" s="46">
        <f>+D152+Per_child_accounting!$AD$81</f>
        <v>1108.0068915150925</v>
      </c>
      <c r="E153" s="46">
        <f>+E152+Per_child_accounting!$AD$81</f>
        <v>1108.0068915150925</v>
      </c>
      <c r="F153" s="46">
        <f>+F152+Per_child_accounting!$AD$81</f>
        <v>1108.0068915150925</v>
      </c>
      <c r="G153" s="46">
        <f>+G152+Per_child_accounting!AE$81</f>
        <v>1108.3255815471603</v>
      </c>
      <c r="H153" s="46">
        <f>+H152+Per_child_accounting!AF$81</f>
        <v>1149.4285047524031</v>
      </c>
      <c r="I153" s="46">
        <f>+I152+Per_child_accounting!AG$81</f>
        <v>1213.0126005584957</v>
      </c>
      <c r="J153" s="46">
        <f>+J152+Per_child_accounting!AH$81</f>
        <v>1301.1735320135419</v>
      </c>
      <c r="K153" s="46">
        <f>+K152+Per_child_accounting!AI$81</f>
        <v>1375.9099348383834</v>
      </c>
      <c r="L153" s="46">
        <f>+L152+Per_child_accounting!AJ$81</f>
        <v>1459.0739931772264</v>
      </c>
      <c r="M153" s="46">
        <f>+M152+Per_child_accounting!AK$81</f>
        <v>1507.9514349626975</v>
      </c>
      <c r="N153" s="46">
        <f>+N152+Per_child_accounting!AL$81</f>
        <v>1574.6445528131653</v>
      </c>
      <c r="O153" s="46">
        <f>+O152+Per_child_accounting!AM$81</f>
        <v>1692.3507455569734</v>
      </c>
      <c r="P153" s="46">
        <f>+P152+Per_child_accounting!AN$81</f>
        <v>1866.418586285225</v>
      </c>
      <c r="Q153" s="46">
        <f>+Q152+Per_child_accounting!AO$81</f>
        <v>1881.3973062835623</v>
      </c>
      <c r="R153" s="46"/>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row>
    <row r="154" spans="1:40">
      <c r="B154" s="86"/>
      <c r="D154" s="46"/>
      <c r="E154" s="46"/>
      <c r="F154" s="46"/>
      <c r="G154" s="46"/>
      <c r="H154" s="46"/>
      <c r="I154" s="46"/>
      <c r="J154" s="46"/>
      <c r="K154" s="46"/>
      <c r="L154" s="46"/>
      <c r="M154" s="46"/>
      <c r="N154" s="46"/>
      <c r="O154" s="46"/>
      <c r="P154" s="46"/>
      <c r="Q154" s="46"/>
      <c r="R154" s="46"/>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row>
    <row r="155" spans="1:40">
      <c r="A155" t="s">
        <v>1097</v>
      </c>
      <c r="B155" s="86" t="s">
        <v>1098</v>
      </c>
      <c r="C155" t="str">
        <f t="shared" si="49"/>
        <v>Balance of SA1+0</v>
      </c>
      <c r="D155" s="46">
        <f>IF(+DropINTable!AB116=0,DropINTable!AC116,DropINTable!AB116)</f>
        <v>289.86128340964228</v>
      </c>
      <c r="E155" s="46">
        <f>IF(+DropINTable!AC116=0,DropINTable!AD116,DropINTable!AC116)</f>
        <v>305.26496576282682</v>
      </c>
      <c r="F155" s="46">
        <f>IF(+DropINTable!AD116=0,DropINTable!AE116,DropINTable!AD116)</f>
        <v>320.02382784668129</v>
      </c>
      <c r="G155" s="46">
        <f>IF(+DropINTable!AE116=0,DropINTable!AF116,DropINTable!AE116)</f>
        <v>344.92229219746861</v>
      </c>
      <c r="H155" s="46">
        <f>IF(+DropINTable!AF116=0,DropINTable!AG116,DropINTable!AF116)</f>
        <v>385.68131545552637</v>
      </c>
      <c r="I155" s="46">
        <f>IF(+DropINTable!AG116=0,DropINTable!AH116,DropINTable!AG116)</f>
        <v>448.73341368664086</v>
      </c>
      <c r="J155" s="46">
        <f>IF(+DropINTable!AH116=0,DropINTable!AI116,DropINTable!AH116)</f>
        <v>536.15672066526702</v>
      </c>
      <c r="K155" s="46">
        <f>IF(+DropINTable!AI116=0,DropINTable!AJ116,DropINTable!AI116)</f>
        <v>610.26782211775696</v>
      </c>
      <c r="L155" s="46">
        <f>IF(+DropINTable!AJ116=0,DropINTable!AK116,DropINTable!AJ116)</f>
        <v>692.73606340302206</v>
      </c>
      <c r="M155" s="46">
        <f>IF(+DropINTable!AK116=0,DropINTable!AL116,DropINTable!AK116)</f>
        <v>741.20456538782162</v>
      </c>
      <c r="N155" s="46">
        <f>IF(+DropINTable!AL116=0,DropINTable!AM116,DropINTable!AL116)</f>
        <v>807.33967314509516</v>
      </c>
      <c r="O155" s="46">
        <f>IF(+DropINTable!AM116=0,DropINTable!AN116,DropINTable!AM116)</f>
        <v>924.0610404218329</v>
      </c>
      <c r="P155" s="46">
        <f>IF(+DropINTable!AN116=0,DropINTable!AO116,DropINTable!AN116)</f>
        <v>1096.6724951061817</v>
      </c>
      <c r="Q155" s="46">
        <f>IF(+DropINTable!AO116=0,DropINTable!AP116,DropINTable!AO116)</f>
        <v>1111.525890131508</v>
      </c>
      <c r="R155" s="46"/>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row>
    <row r="156" spans="1:40">
      <c r="A156" t="s">
        <v>1099</v>
      </c>
      <c r="B156" s="86" t="s">
        <v>1100</v>
      </c>
      <c r="C156" t="str">
        <f t="shared" si="49"/>
        <v>Balance of SA1+1</v>
      </c>
      <c r="D156" s="46">
        <f>IF(+DropINTable!AB117=0,DropINTable!AC117,DropINTable!AB117)</f>
        <v>402.63493097862437</v>
      </c>
      <c r="E156" s="46">
        <f>IF(+DropINTable!AC117=0,DropINTable!AD117,DropINTable!AC117)</f>
        <v>402.63493097862437</v>
      </c>
      <c r="F156" s="46">
        <f>IF(+DropINTable!AD117=0,DropINTable!AE117,DropINTable!AD117)</f>
        <v>417.29578087114476</v>
      </c>
      <c r="G156" s="46">
        <f>IF(+DropINTable!AE117=0,DropINTable!AF117,DropINTable!AE117)</f>
        <v>442.02889644207312</v>
      </c>
      <c r="H156" s="46">
        <f>IF(+DropINTable!AF117=0,DropINTable!AG117,DropINTable!AF117)</f>
        <v>482.51724506250179</v>
      </c>
      <c r="I156" s="46">
        <f>IF(+DropINTable!AG117=0,DropINTable!AH117,DropINTable!AG117)</f>
        <v>545.15061934363894</v>
      </c>
      <c r="J156" s="46">
        <f>IF(+DropINTable!AH117=0,DropINTable!AI117,DropINTable!AH117)</f>
        <v>631.99335591680585</v>
      </c>
      <c r="K156" s="46">
        <f>IF(+DropINTable!AI117=0,DropINTable!AJ117,DropINTable!AI117)</f>
        <v>705.6122910563339</v>
      </c>
      <c r="L156" s="46">
        <f>IF(+DropINTable!AJ117=0,DropINTable!AK117,DropINTable!AJ117)</f>
        <v>787.53286736663233</v>
      </c>
      <c r="M156" s="46">
        <f>IF(+DropINTable!AK117=0,DropINTable!AL117,DropINTable!AK117)</f>
        <v>835.67949419451429</v>
      </c>
      <c r="N156" s="46">
        <f>IF(+DropINTable!AL117=0,DropINTable!AM117,DropINTable!AL117)</f>
        <v>901.3754053703932</v>
      </c>
      <c r="O156" s="46">
        <f>IF(+DropINTable!AM117=0,DropINTable!AN117,DropINTable!AM117)</f>
        <v>1017.3216393231346</v>
      </c>
      <c r="P156" s="46">
        <f>IF(+DropINTable!AN117=0,DropINTable!AO117,DropINTable!AN117)</f>
        <v>1188.7867928472067</v>
      </c>
      <c r="Q156" s="46">
        <f>IF(+DropINTable!AO117=0,DropINTable!AP117,DropINTable!AO117)</f>
        <v>1203.5415472072482</v>
      </c>
      <c r="R156" s="46"/>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row>
    <row r="157" spans="1:40">
      <c r="A157" t="s">
        <v>1101</v>
      </c>
      <c r="B157" s="86" t="s">
        <v>1102</v>
      </c>
      <c r="C157" t="str">
        <f t="shared" si="49"/>
        <v>Balance of SA1+2</v>
      </c>
      <c r="D157" s="46">
        <f>IF(+DropINTable!AB118=0,DropINTable!AC118,DropINTable!AB118)</f>
        <v>512.89171348861987</v>
      </c>
      <c r="E157" s="46">
        <f>IF(+DropINTable!AC118=0,DropINTable!AD118,DropINTable!AC118)</f>
        <v>512.89171348861987</v>
      </c>
      <c r="F157" s="46">
        <f>IF(+DropINTable!AD118=0,DropINTable!AE118,DropINTable!AD118)</f>
        <v>527.53158877030216</v>
      </c>
      <c r="G157" s="46">
        <f>IF(+DropINTable!AE118=0,DropINTable!AF118,DropINTable!AE118)</f>
        <v>552.22932280795987</v>
      </c>
      <c r="H157" s="46">
        <f>IF(+DropINTable!AF118=0,DropINTable!AG118,DropINTable!AF118)</f>
        <v>592.65974394458715</v>
      </c>
      <c r="I157" s="46">
        <f>IF(+DropINTable!AG118=0,DropINTable!AH118,DropINTable!AG118)</f>
        <v>655.20351435137979</v>
      </c>
      <c r="J157" s="46">
        <f>IF(+DropINTable!AH118=0,DropINTable!AI118,DropINTable!AH118)</f>
        <v>741.92201148555478</v>
      </c>
      <c r="K157" s="46">
        <f>IF(+DropINTable!AI118=0,DropINTable!AJ118,DropINTable!AI118)</f>
        <v>815.43562706927719</v>
      </c>
      <c r="L157" s="46">
        <f>IF(+DropINTable!AJ118=0,DropINTable!AK118,DropINTable!AJ118)</f>
        <v>897.23900944742149</v>
      </c>
      <c r="M157" s="46">
        <f>IF(+DropINTable!AK118=0,DropINTable!AL118,DropINTable!AK118)</f>
        <v>945.31675430937651</v>
      </c>
      <c r="N157" s="46">
        <f>IF(+DropINTable!AL118=0,DropINTable!AM118,DropINTable!AL118)</f>
        <v>1010.9186783462245</v>
      </c>
      <c r="O157" s="46">
        <f>IF(+DropINTable!AM118=0,DropINTable!AN118,DropINTable!AM118)</f>
        <v>1126.6990315815349</v>
      </c>
      <c r="P157" s="46">
        <f>IF(+DropINTable!AN118=0,DropINTable!AO118,DropINTable!AN118)</f>
        <v>1297.9188891471274</v>
      </c>
      <c r="Q157" s="46">
        <f>IF(+DropINTable!AO118=0,DropINTable!AP118,DropINTable!AO118)</f>
        <v>1312.6525359499078</v>
      </c>
      <c r="R157" s="46"/>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row>
    <row r="158" spans="1:40">
      <c r="A158" t="s">
        <v>1103</v>
      </c>
      <c r="B158" s="86" t="s">
        <v>1104</v>
      </c>
      <c r="C158" t="str">
        <f t="shared" si="49"/>
        <v>Balance of SA1+3</v>
      </c>
      <c r="D158" s="46">
        <f t="shared" ref="D158" si="53">+E158</f>
        <v>637.76739666945957</v>
      </c>
      <c r="E158" s="46">
        <f>IF(+DropINTable!AC119=0,DropINTable!AD119,DropINTable!AC119)</f>
        <v>637.76739666945957</v>
      </c>
      <c r="F158" s="46">
        <f>IF(+DropINTable!AD119=0,DropINTable!AE119,DropINTable!AD119)</f>
        <v>637.76739666945957</v>
      </c>
      <c r="G158" s="46">
        <f>IF(+DropINTable!AE119=0,DropINTable!AF119,DropINTable!AE119)</f>
        <v>662.42974917384663</v>
      </c>
      <c r="H158" s="46">
        <f>IF(+DropINTable!AF119=0,DropINTable!AG119,DropINTable!AF119)</f>
        <v>702.80224282667245</v>
      </c>
      <c r="I158" s="46">
        <f>IF(+DropINTable!AG119=0,DropINTable!AH119,DropINTable!AG119)</f>
        <v>765.25640935912065</v>
      </c>
      <c r="J158" s="46">
        <f>IF(+DropINTable!AH119=0,DropINTable!AI119,DropINTable!AH119)</f>
        <v>851.8506670543037</v>
      </c>
      <c r="K158" s="46">
        <f>IF(+DropINTable!AI119=0,DropINTable!AJ119,DropINTable!AI119)</f>
        <v>925.25896308222048</v>
      </c>
      <c r="L158" s="46">
        <f>IF(+DropINTable!AJ119=0,DropINTable!AK119,DropINTable!AJ119)</f>
        <v>1006.9451515282107</v>
      </c>
      <c r="M158" s="46">
        <f>IF(+DropINTable!AK119=0,DropINTable!AL119,DropINTable!AK119)</f>
        <v>1054.9540144242387</v>
      </c>
      <c r="N158" s="46">
        <f>IF(+DropINTable!AL119=0,DropINTable!AM119,DropINTable!AL119)</f>
        <v>1120.4619513220559</v>
      </c>
      <c r="O158" s="46">
        <f>IF(+DropINTable!AM119=0,DropINTable!AN119,DropINTable!AM119)</f>
        <v>1236.0764238399352</v>
      </c>
      <c r="P158" s="46">
        <f>IF(+DropINTable!AN119=0,DropINTable!AO119,DropINTable!AN119)</f>
        <v>1407.0509854470481</v>
      </c>
      <c r="Q158" s="46">
        <f>IF(+DropINTable!AO119=0,DropINTable!AP119,DropINTable!AO119)</f>
        <v>1421.7635246925674</v>
      </c>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row>
    <row r="159" spans="1:40">
      <c r="B159" s="86" t="s">
        <v>1105</v>
      </c>
      <c r="C159" t="str">
        <f t="shared" ref="C159:C161" si="54">+CONCATENATE(A$146,B159)</f>
        <v>Balance of SA1+4</v>
      </c>
      <c r="D159" s="46">
        <f>+D158+Per_child_accounting!AC$84</f>
        <v>735.13736188525718</v>
      </c>
      <c r="E159" s="46">
        <f>+E158+Per_child_accounting!AC$84</f>
        <v>735.13736188525718</v>
      </c>
      <c r="F159" s="46">
        <f>+F158+Per_child_accounting!AD$84</f>
        <v>735.03934969392299</v>
      </c>
      <c r="G159" s="46">
        <f>+G158+Per_child_accounting!AE$84</f>
        <v>759.5363534184512</v>
      </c>
      <c r="H159" s="46">
        <f>+H158+Per_child_accounting!AF$84</f>
        <v>799.63817243364792</v>
      </c>
      <c r="I159" s="46">
        <f>+I158+Per_child_accounting!AG$84</f>
        <v>861.67361501611867</v>
      </c>
      <c r="J159" s="46">
        <f>+J158+Per_child_accounting!AH$84</f>
        <v>947.68730230584254</v>
      </c>
      <c r="K159" s="46">
        <f>+K158+Per_child_accounting!AI$84</f>
        <v>1020.6034320207974</v>
      </c>
      <c r="L159" s="46">
        <f>+L158+Per_child_accounting!AJ$84</f>
        <v>1101.741955491821</v>
      </c>
      <c r="M159" s="46">
        <f>+M158+Per_child_accounting!AK$84</f>
        <v>1149.4289432309315</v>
      </c>
      <c r="N159" s="46">
        <f>+N158+Per_child_accounting!AL$84</f>
        <v>1214.497683547354</v>
      </c>
      <c r="O159" s="46">
        <f>+O158+Per_child_accounting!AM$84</f>
        <v>1329.337022741237</v>
      </c>
      <c r="P159" s="46">
        <f>+P158+Per_child_accounting!AN$84</f>
        <v>1499.1652831880731</v>
      </c>
      <c r="Q159" s="46">
        <f>+Q158+Per_child_accounting!AO$84</f>
        <v>1513.7791817683076</v>
      </c>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row>
    <row r="160" spans="1:40">
      <c r="B160" s="86" t="s">
        <v>1106</v>
      </c>
      <c r="C160" t="str">
        <f t="shared" si="54"/>
        <v>Balance of SA1+5</v>
      </c>
      <c r="D160" s="46">
        <f>+D159+Per_child_accounting!AC$84</f>
        <v>832.50732710105467</v>
      </c>
      <c r="E160" s="46">
        <f>+E159+Per_child_accounting!AC$84</f>
        <v>832.50732710105467</v>
      </c>
      <c r="F160" s="46">
        <f>+F159+Per_child_accounting!AD$84</f>
        <v>832.31130271838651</v>
      </c>
      <c r="G160" s="46">
        <f>+G159+Per_child_accounting!AE$84</f>
        <v>856.64295766305577</v>
      </c>
      <c r="H160" s="46">
        <f>+H159+Per_child_accounting!AF$84</f>
        <v>896.47410204062339</v>
      </c>
      <c r="I160" s="46">
        <f>+I159+Per_child_accounting!AG$84</f>
        <v>958.0908206731167</v>
      </c>
      <c r="J160" s="46">
        <f>+J159+Per_child_accounting!AH$84</f>
        <v>1043.5239375573815</v>
      </c>
      <c r="K160" s="46">
        <f>+K159+Per_child_accounting!AI$84</f>
        <v>1115.9479009593742</v>
      </c>
      <c r="L160" s="46">
        <f>+L159+Per_child_accounting!AJ$84</f>
        <v>1196.5387594554313</v>
      </c>
      <c r="M160" s="46">
        <f>+M159+Per_child_accounting!AK$84</f>
        <v>1243.9038720376243</v>
      </c>
      <c r="N160" s="46">
        <f>+N159+Per_child_accounting!AL$84</f>
        <v>1308.533415772652</v>
      </c>
      <c r="O160" s="46">
        <f>+O159+Per_child_accounting!AM$84</f>
        <v>1422.5976216425388</v>
      </c>
      <c r="P160" s="46">
        <f>+P159+Per_child_accounting!AN$84</f>
        <v>1591.2795809290981</v>
      </c>
      <c r="Q160" s="46">
        <f>+Q159+Per_child_accounting!AO$84</f>
        <v>1605.7948388440477</v>
      </c>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row>
    <row r="161" spans="1:40">
      <c r="B161" s="86" t="s">
        <v>1107</v>
      </c>
      <c r="C161" t="str">
        <f t="shared" si="54"/>
        <v>Balance of SA1+6</v>
      </c>
      <c r="D161" s="46">
        <f>+D160+Per_child_accounting!AC$84</f>
        <v>929.87729231685216</v>
      </c>
      <c r="E161" s="46">
        <f>+E160+Per_child_accounting!AC$84</f>
        <v>929.87729231685216</v>
      </c>
      <c r="F161" s="46">
        <f>+F160+Per_child_accounting!AD$84</f>
        <v>929.58325574285004</v>
      </c>
      <c r="G161" s="46">
        <f>+G160+Per_child_accounting!AE$84</f>
        <v>953.74956190766034</v>
      </c>
      <c r="H161" s="46">
        <f>+H160+Per_child_accounting!AF$84</f>
        <v>993.31003164759886</v>
      </c>
      <c r="I161" s="46">
        <f>+I160+Per_child_accounting!AG$84</f>
        <v>1054.5080263301147</v>
      </c>
      <c r="J161" s="46">
        <f>+J160+Per_child_accounting!AH$84</f>
        <v>1139.3605728089203</v>
      </c>
      <c r="K161" s="46">
        <f>+K160+Per_child_accounting!AI$84</f>
        <v>1211.2923698979512</v>
      </c>
      <c r="L161" s="46">
        <f>+L160+Per_child_accounting!AJ$84</f>
        <v>1291.3355634190416</v>
      </c>
      <c r="M161" s="46">
        <f>+M160+Per_child_accounting!AK$84</f>
        <v>1338.3788008443171</v>
      </c>
      <c r="N161" s="46">
        <f>+N160+Per_child_accounting!AL$84</f>
        <v>1402.56914799795</v>
      </c>
      <c r="O161" s="46">
        <f>+O160+Per_child_accounting!AM$84</f>
        <v>1515.8582205438406</v>
      </c>
      <c r="P161" s="46">
        <f>+P160+Per_child_accounting!AN$84</f>
        <v>1683.3938786701231</v>
      </c>
      <c r="Q161" s="46">
        <f>+Q160+Per_child_accounting!AO$84</f>
        <v>1697.8104959197879</v>
      </c>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row>
    <row r="162" spans="1:40">
      <c r="D162" s="46"/>
      <c r="E162" s="46"/>
      <c r="F162" s="46"/>
      <c r="G162" s="46"/>
      <c r="H162" s="46"/>
      <c r="I162" s="46"/>
      <c r="J162" s="46"/>
      <c r="K162" s="46"/>
      <c r="L162" s="46"/>
      <c r="M162" s="46"/>
      <c r="N162" s="46"/>
      <c r="O162" s="46"/>
      <c r="P162" s="46"/>
      <c r="Q162" s="46"/>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row>
    <row r="163" spans="1:40" ht="28.5">
      <c r="A163" s="369" t="s">
        <v>234</v>
      </c>
      <c r="B163" s="369"/>
      <c r="C163" s="369"/>
      <c r="D163" s="46"/>
      <c r="E163" s="46"/>
      <c r="F163" s="46"/>
      <c r="G163" s="46"/>
      <c r="H163" s="46"/>
      <c r="I163" s="46"/>
      <c r="J163" s="46"/>
      <c r="K163" s="46"/>
      <c r="L163" s="46"/>
      <c r="M163" s="46"/>
      <c r="N163" s="46"/>
      <c r="O163" s="46"/>
      <c r="P163" s="46"/>
      <c r="Q163" s="46"/>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row>
    <row r="164" spans="1:40">
      <c r="A164" t="s">
        <v>1086</v>
      </c>
      <c r="B164" s="86" t="s">
        <v>1087</v>
      </c>
      <c r="C164" t="str">
        <f>+CONCATENATE(A$163,B164)</f>
        <v>Perth2+0</v>
      </c>
      <c r="D164" s="46">
        <f>IF(+DropINTable!AB123=0,DropINTable!AC123,DropINTable!AB123)</f>
        <v>557.70440269166556</v>
      </c>
      <c r="E164" s="46">
        <f>IF(+DropINTable!AC123=0,DropINTable!AD123,DropINTable!AC123)</f>
        <v>557.70440269166556</v>
      </c>
      <c r="F164" s="46">
        <f>IF(+DropINTable!AD123=0,DropINTable!AE123,DropINTable!AD123)</f>
        <v>572.43785090500467</v>
      </c>
      <c r="G164" s="46">
        <f>IF(+DropINTable!AE123=0,DropINTable!AF123,DropINTable!AE123)</f>
        <v>597.29344143348078</v>
      </c>
      <c r="H164" s="46">
        <f>IF(+DropINTable!AF123=0,DropINTable!AG123,DropINTable!AF123)</f>
        <v>637.98227996683636</v>
      </c>
      <c r="I164" s="46">
        <f>IF(+DropINTable!AG123=0,DropINTable!AH123,DropINTable!AG123)</f>
        <v>700.92580550795799</v>
      </c>
      <c r="J164" s="46">
        <f>IF(+DropINTable!AH123=0,DropINTable!AI123,DropINTable!AH123)</f>
        <v>788.19857471746025</v>
      </c>
      <c r="K164" s="46">
        <f>IF(+DropINTable!AI123=0,DropINTable!AJ123,DropINTable!AI123)</f>
        <v>862.18205996509164</v>
      </c>
      <c r="L164" s="46">
        <f>IF(+DropINTable!AJ123=0,DropINTable!AK123,DropINTable!AJ123)</f>
        <v>944.50829601829446</v>
      </c>
      <c r="M164" s="46">
        <f>IF(+DropINTable!AK123=0,DropINTable!AL123,DropINTable!AK123)</f>
        <v>992.8933359243216</v>
      </c>
      <c r="N164" s="46">
        <f>IF(+DropINTable!AL123=0,DropINTable!AM123,DropINTable!AL123)</f>
        <v>1058.9145643719737</v>
      </c>
      <c r="O164" s="46">
        <f>IF(+DropINTable!AM123=0,DropINTable!AN123,DropINTable!AM123)</f>
        <v>1175.4349440075907</v>
      </c>
      <c r="P164" s="46">
        <f>IF(+DropINTable!AN123=0,DropINTable!AO123,DropINTable!AN123)</f>
        <v>1347.749169730128</v>
      </c>
      <c r="Q164" s="46">
        <f>IF(+DropINTable!AO123=0,DropINTable!AP123,DropINTable!AO123)</f>
        <v>1362.5769887565523</v>
      </c>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row>
    <row r="165" spans="1:40">
      <c r="A165" t="s">
        <v>1088</v>
      </c>
      <c r="B165" s="86" t="s">
        <v>1089</v>
      </c>
      <c r="C165" t="str">
        <f t="shared" ref="C165:C175" si="55">+CONCATENATE(A$163,B165)</f>
        <v>Perth2+1</v>
      </c>
      <c r="D165" s="46">
        <f t="shared" ref="D165:D166" si="56">+E165</f>
        <v>661.7135096882464</v>
      </c>
      <c r="E165" s="46">
        <f>IF(+DropINTable!AC124=0,DropINTable!AD124,DropINTable!AC124)</f>
        <v>661.7135096882464</v>
      </c>
      <c r="F165" s="46">
        <f>IF(+DropINTable!AD124=0,DropINTable!AE124,DropINTable!AD124)</f>
        <v>661.7135096882464</v>
      </c>
      <c r="G165" s="46">
        <f>IF(+DropINTable!AE124=0,DropINTable!AF124,DropINTable!AE124)</f>
        <v>686.67533072206481</v>
      </c>
      <c r="H165" s="46">
        <f>IF(+DropINTable!AF124=0,DropINTable!AG124,DropINTable!AF124)</f>
        <v>727.53806919426097</v>
      </c>
      <c r="I165" s="46">
        <f>IF(+DropINTable!AG124=0,DropINTable!AH124,DropINTable!AG124)</f>
        <v>790.75060851100693</v>
      </c>
      <c r="J165" s="46">
        <f>IF(+DropINTable!AH124=0,DropINTable!AI124,DropINTable!AH124)</f>
        <v>878.39637164408055</v>
      </c>
      <c r="K165" s="46">
        <f>IF(+DropINTable!AI124=0,DropINTable!AJ124,DropINTable!AI124)</f>
        <v>952.69605502168565</v>
      </c>
      <c r="L165" s="46">
        <f>IF(+DropINTable!AJ124=0,DropINTable!AK124,DropINTable!AJ124)</f>
        <v>1035.3741452603856</v>
      </c>
      <c r="M165" s="46">
        <f>IF(+DropINTable!AK124=0,DropINTable!AL124,DropINTable!AK124)</f>
        <v>1083.9659792375298</v>
      </c>
      <c r="N165" s="46">
        <f>IF(+DropINTable!AL124=0,DropINTable!AM124,DropINTable!AL124)</f>
        <v>1150.2693721755181</v>
      </c>
      <c r="O165" s="46">
        <f>IF(+DropINTable!AM124=0,DropINTable!AN124,DropINTable!AM124)</f>
        <v>1267.2877498337318</v>
      </c>
      <c r="P165" s="46">
        <f>IF(+DropINTable!AN124=0,DropINTable!AO124,DropINTable!AN124)</f>
        <v>1440.3384287450024</v>
      </c>
      <c r="Q165" s="46">
        <f>IF(+DropINTable!AO124=0,DropINTable!AP124,DropINTable!AO124)</f>
        <v>1455.2296204246945</v>
      </c>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row>
    <row r="166" spans="1:40">
      <c r="A166" t="s">
        <v>1090</v>
      </c>
      <c r="B166" s="86" t="s">
        <v>1091</v>
      </c>
      <c r="C166" t="str">
        <f t="shared" si="55"/>
        <v>Perth2+2</v>
      </c>
      <c r="D166" s="46">
        <f t="shared" si="56"/>
        <v>728.08188533894509</v>
      </c>
      <c r="E166" s="46">
        <f>IF(+DropINTable!AC125=0,DropINTable!AD125,DropINTable!AC125)</f>
        <v>728.08188533894509</v>
      </c>
      <c r="F166" s="46">
        <f>IF(+DropINTable!AD125=0,DropINTable!AE125,DropINTable!AD125)</f>
        <v>728.08188533894509</v>
      </c>
      <c r="G166" s="46">
        <f>IF(+DropINTable!AE125=0,DropINTable!AF125,DropINTable!AE125)</f>
        <v>752.88074463790224</v>
      </c>
      <c r="H166" s="46">
        <f>IF(+DropINTable!AF125=0,DropINTable!AG125,DropINTable!AF125)</f>
        <v>793.47671379647772</v>
      </c>
      <c r="I166" s="46">
        <f>IF(+DropINTable!AG125=0,DropINTable!AH125,DropINTable!AG125)</f>
        <v>856.27657387570275</v>
      </c>
      <c r="J166" s="46">
        <f>IF(+DropINTable!AH125=0,DropINTable!AI125,DropINTable!AH125)</f>
        <v>943.35014800960619</v>
      </c>
      <c r="K166" s="46">
        <f>IF(+DropINTable!AI125=0,DropINTable!AJ125,DropINTable!AI125)</f>
        <v>1017.1647718902205</v>
      </c>
      <c r="L166" s="46">
        <f>IF(+DropINTable!AJ125=0,DropINTable!AK125,DropINTable!AJ125)</f>
        <v>1099.303103318465</v>
      </c>
      <c r="M166" s="46">
        <f>IF(+DropINTable!AK125=0,DropINTable!AL125,DropINTable!AK125)</f>
        <v>1147.5777080401222</v>
      </c>
      <c r="N166" s="46">
        <f>IF(+DropINTable!AL125=0,DropINTable!AM125,DropINTable!AL125)</f>
        <v>1213.4482464630735</v>
      </c>
      <c r="O166" s="46">
        <f>IF(+DropINTable!AM125=0,DropINTable!AN125,DropINTable!AM125)</f>
        <v>1329.7026770123214</v>
      </c>
      <c r="P166" s="46">
        <f>IF(+DropINTable!AN125=0,DropINTable!AO125,DropINTable!AN125)</f>
        <v>1501.6236063024267</v>
      </c>
      <c r="Q166" s="46">
        <f>IF(+DropINTable!AO125=0,DropINTable!AP125,DropINTable!AO125)</f>
        <v>1516.4175822560774</v>
      </c>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row>
    <row r="167" spans="1:40">
      <c r="A167" t="s">
        <v>1092</v>
      </c>
      <c r="B167" s="86" t="s">
        <v>1093</v>
      </c>
      <c r="C167" t="str">
        <f t="shared" si="55"/>
        <v>Perth2+3</v>
      </c>
      <c r="D167" s="46">
        <f t="shared" ref="D167" si="57">+F167</f>
        <v>820.18569238847795</v>
      </c>
      <c r="E167" s="46">
        <f>+F167</f>
        <v>820.18569238847795</v>
      </c>
      <c r="F167" s="46">
        <f>IF(+DropINTable!AD126=0,DropINTable!AE126,DropINTable!AD126)</f>
        <v>820.18569238847795</v>
      </c>
      <c r="G167" s="46">
        <f>IF(+DropINTable!AE126=0,DropINTable!AF126,DropINTable!AE126)</f>
        <v>820.18569238847795</v>
      </c>
      <c r="H167" s="46">
        <f>IF(+DropINTable!AF126=0,DropINTable!AG126,DropINTable!AF126)</f>
        <v>860.76691434739155</v>
      </c>
      <c r="I167" s="46">
        <f>IF(+DropINTable!AG126=0,DropINTable!AH126,DropINTable!AG126)</f>
        <v>923.54396659216468</v>
      </c>
      <c r="J167" s="46">
        <f>IF(+DropINTable!AH126=0,DropINTable!AI126,DropINTable!AH126)</f>
        <v>1010.5859121639842</v>
      </c>
      <c r="K167" s="46">
        <f>IF(+DropINTable!AI126=0,DropINTable!AJ126,DropINTable!AI126)</f>
        <v>1084.3737250031554</v>
      </c>
      <c r="L167" s="46">
        <f>IF(+DropINTable!AJ126=0,DropINTable!AK126,DropINTable!AJ126)</f>
        <v>1166.4822194851286</v>
      </c>
      <c r="M167" s="46">
        <f>IF(+DropINTable!AK126=0,DropINTable!AL126,DropINTable!AK126)</f>
        <v>1214.7392902296324</v>
      </c>
      <c r="N167" s="46">
        <f>IF(+DropINTable!AL126=0,DropINTable!AM126,DropINTable!AL126)</f>
        <v>1280.5859026369262</v>
      </c>
      <c r="O167" s="46">
        <f>IF(+DropINTable!AM126=0,DropINTable!AN126,DropINTable!AM126)</f>
        <v>1396.798106504486</v>
      </c>
      <c r="P167" s="46">
        <f>IF(+DropINTable!AN126=0,DropINTable!AO126,DropINTable!AN126)</f>
        <v>1568.6565879878472</v>
      </c>
      <c r="Q167" s="46">
        <f>IF(+DropINTable!AO126=0,DropINTable!AP126,DropINTable!AO126)</f>
        <v>1583.4451912046941</v>
      </c>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row>
    <row r="168" spans="1:40">
      <c r="B168" s="86" t="s">
        <v>1094</v>
      </c>
      <c r="C168" t="str">
        <f t="shared" ref="C168:C170" si="58">+CONCATENATE(A$163,B168)</f>
        <v>Perth2+4</v>
      </c>
      <c r="D168" s="46">
        <f>+D167+Per_child_accounting!$AD$89</f>
        <v>909.46135117171968</v>
      </c>
      <c r="E168" s="46">
        <f>+E167+Per_child_accounting!$AD$89</f>
        <v>909.46135117171968</v>
      </c>
      <c r="F168" s="46">
        <f>+F167+Per_child_accounting!AD$89</f>
        <v>909.46135117171968</v>
      </c>
      <c r="G168" s="46">
        <f>+G167+Per_child_accounting!AE$89</f>
        <v>909.56758167706198</v>
      </c>
      <c r="H168" s="46">
        <f>+H167+Per_child_accounting!AF$89</f>
        <v>950.32270357481616</v>
      </c>
      <c r="I168" s="46">
        <f>+I167+Per_child_accounting!AG$89</f>
        <v>1013.3687695952136</v>
      </c>
      <c r="J168" s="46">
        <f>+J167+Per_child_accounting!AH$89</f>
        <v>1100.7837090906046</v>
      </c>
      <c r="K168" s="46">
        <f>+K167+Per_child_accounting!AI$89</f>
        <v>1174.8877200597494</v>
      </c>
      <c r="L168" s="46">
        <f>+L167+Per_child_accounting!AJ$89</f>
        <v>1257.3480687272197</v>
      </c>
      <c r="M168" s="46">
        <f>+M167+Per_child_accounting!AK$89</f>
        <v>1305.8119335428405</v>
      </c>
      <c r="N168" s="46">
        <f>+N167+Per_child_accounting!AL$89</f>
        <v>1371.9407104404706</v>
      </c>
      <c r="O168" s="46">
        <f>+O167+Per_child_accounting!AM$89</f>
        <v>1488.6509123306271</v>
      </c>
      <c r="P168" s="46">
        <f>+P167+Per_child_accounting!AN$89</f>
        <v>1661.2458470027216</v>
      </c>
      <c r="Q168" s="46">
        <f>+Q167+Per_child_accounting!AO$89</f>
        <v>1676.0978228728363</v>
      </c>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row>
    <row r="169" spans="1:40">
      <c r="B169" s="86" t="s">
        <v>1095</v>
      </c>
      <c r="C169" t="str">
        <f t="shared" si="58"/>
        <v>Perth2+5</v>
      </c>
      <c r="D169" s="46">
        <f>+D168+Per_child_accounting!$AD$89</f>
        <v>998.73700995496142</v>
      </c>
      <c r="E169" s="46">
        <f>+E168+Per_child_accounting!$AD$89</f>
        <v>998.73700995496142</v>
      </c>
      <c r="F169" s="46">
        <f>+F168+Per_child_accounting!$AD$89</f>
        <v>998.73700995496142</v>
      </c>
      <c r="G169" s="46">
        <f>+G168+Per_child_accounting!AE$89</f>
        <v>998.94947096564601</v>
      </c>
      <c r="H169" s="46">
        <f>+H168+Per_child_accounting!AF$89</f>
        <v>1039.8784928022408</v>
      </c>
      <c r="I169" s="46">
        <f>+I168+Per_child_accounting!AG$89</f>
        <v>1103.1935725982626</v>
      </c>
      <c r="J169" s="46">
        <f>+J168+Per_child_accounting!AH$89</f>
        <v>1190.981506017225</v>
      </c>
      <c r="K169" s="46">
        <f>+K168+Per_child_accounting!AI$89</f>
        <v>1265.4017151163434</v>
      </c>
      <c r="L169" s="46">
        <f>+L168+Per_child_accounting!AJ$89</f>
        <v>1348.2139179693108</v>
      </c>
      <c r="M169" s="46">
        <f>+M168+Per_child_accounting!AK$89</f>
        <v>1396.8845768560486</v>
      </c>
      <c r="N169" s="46">
        <f>+N168+Per_child_accounting!AL$89</f>
        <v>1463.2955182440151</v>
      </c>
      <c r="O169" s="46">
        <f>+O168+Per_child_accounting!AM$89</f>
        <v>1580.5037181567682</v>
      </c>
      <c r="P169" s="46">
        <f>+P168+Per_child_accounting!AN$89</f>
        <v>1753.835106017596</v>
      </c>
      <c r="Q169" s="46">
        <f>+Q168+Per_child_accounting!AO$89</f>
        <v>1768.7504545409786</v>
      </c>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row>
    <row r="170" spans="1:40">
      <c r="B170" s="86" t="s">
        <v>1096</v>
      </c>
      <c r="C170" t="str">
        <f t="shared" si="58"/>
        <v>Perth2+6</v>
      </c>
      <c r="D170" s="46">
        <f>+D169+Per_child_accounting!$AD$89</f>
        <v>1088.012668738203</v>
      </c>
      <c r="E170" s="46">
        <f>+E169+Per_child_accounting!$AD$89</f>
        <v>1088.012668738203</v>
      </c>
      <c r="F170" s="46">
        <f>+F169+Per_child_accounting!$AD$89</f>
        <v>1088.012668738203</v>
      </c>
      <c r="G170" s="46">
        <f>+G169+Per_child_accounting!AE$89</f>
        <v>1088.33136025423</v>
      </c>
      <c r="H170" s="46">
        <f>+H169+Per_child_accounting!AF$89</f>
        <v>1129.4342820296654</v>
      </c>
      <c r="I170" s="46">
        <f>+I169+Per_child_accounting!AG$89</f>
        <v>1193.0183756013116</v>
      </c>
      <c r="J170" s="46">
        <f>+J169+Per_child_accounting!AH$89</f>
        <v>1281.1793029438454</v>
      </c>
      <c r="K170" s="46">
        <f>+K169+Per_child_accounting!AI$89</f>
        <v>1355.9157101729375</v>
      </c>
      <c r="L170" s="46">
        <f>+L169+Per_child_accounting!AJ$89</f>
        <v>1439.079767211402</v>
      </c>
      <c r="M170" s="46">
        <f>+M169+Per_child_accounting!AK$89</f>
        <v>1487.9572201692567</v>
      </c>
      <c r="N170" s="46">
        <f>+N169+Per_child_accounting!AL$89</f>
        <v>1554.6503260475595</v>
      </c>
      <c r="O170" s="46">
        <f>+O169+Per_child_accounting!AM$89</f>
        <v>1672.3565239829093</v>
      </c>
      <c r="P170" s="46">
        <f>+P169+Per_child_accounting!AN$89</f>
        <v>1846.4243650324704</v>
      </c>
      <c r="Q170" s="46">
        <f>+Q169+Per_child_accounting!AO$89</f>
        <v>1861.4030862091208</v>
      </c>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row>
    <row r="171" spans="1:40">
      <c r="B171" s="86"/>
      <c r="D171" s="46"/>
      <c r="E171" s="46"/>
      <c r="F171" s="46"/>
      <c r="G171" s="46"/>
      <c r="H171" s="46"/>
      <c r="I171" s="46"/>
      <c r="J171" s="46"/>
      <c r="K171" s="46"/>
      <c r="L171" s="46"/>
      <c r="M171" s="46"/>
      <c r="N171" s="46"/>
      <c r="O171" s="46"/>
      <c r="P171" s="46"/>
      <c r="Q171" s="46"/>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row>
    <row r="172" spans="1:40">
      <c r="A172" t="s">
        <v>1097</v>
      </c>
      <c r="B172" s="86" t="s">
        <v>1098</v>
      </c>
      <c r="C172" t="str">
        <f t="shared" si="55"/>
        <v>Perth1+0</v>
      </c>
      <c r="D172" s="46">
        <f>IF(+DropINTable!AB128=0,DropINTable!AC128,DropINTable!AB128)</f>
        <v>270.03434798261895</v>
      </c>
      <c r="E172" s="46">
        <f>IF(+DropINTable!AC128=0,DropINTable!AD128,DropINTable!AC128)</f>
        <v>285.43802976890942</v>
      </c>
      <c r="F172" s="46">
        <f>IF(+DropINTable!AD128=0,DropINTable!AE128,DropINTable!AD128)</f>
        <v>300.19689189590986</v>
      </c>
      <c r="G172" s="46">
        <f>IF(+DropINTable!AE128=0,DropINTable!AF128,DropINTable!AE128)</f>
        <v>325.09535646992475</v>
      </c>
      <c r="H172" s="46">
        <f>IF(+DropINTable!AF128=0,DropINTable!AG128,DropINTable!AF128)</f>
        <v>365.85438019633494</v>
      </c>
      <c r="I172" s="46">
        <f>IF(+DropINTable!AG128=0,DropINTable!AH128,DropINTable!AG128)</f>
        <v>428.90647777385476</v>
      </c>
      <c r="J172" s="46">
        <f>IF(+DropINTable!AH128=0,DropINTable!AI128,DropINTable!AH128)</f>
        <v>516.32978512938996</v>
      </c>
      <c r="K172" s="46">
        <f>IF(+DropINTable!AI128=0,DropINTable!AJ128,DropINTable!AI128)</f>
        <v>590.44088682344443</v>
      </c>
      <c r="L172" s="46">
        <f>IF(+DropINTable!AJ128=0,DropINTable!AK128,DropINTable!AJ128)</f>
        <v>672.90912739943519</v>
      </c>
      <c r="M172" s="46">
        <f>IF(+DropINTable!AK128=0,DropINTable!AL128,DropINTable!AK128)</f>
        <v>721.37762869209269</v>
      </c>
      <c r="N172" s="46">
        <f>IF(+DropINTable!AL128=0,DropINTable!AM128,DropINTable!AL128)</f>
        <v>787.51273816258936</v>
      </c>
      <c r="O172" s="46">
        <f>IF(+DropINTable!AM128=0,DropINTable!AN128,DropINTable!AM128)</f>
        <v>904.23410520632854</v>
      </c>
      <c r="P172" s="46">
        <f>IF(+DropINTable!AN128=0,DropINTable!AO128,DropINTable!AN128)</f>
        <v>1076.8455590340659</v>
      </c>
      <c r="Q172" s="46">
        <f>IF(+DropINTable!AO128=0,DropINTable!AP128,DropINTable!AO128)</f>
        <v>1091.6989537236002</v>
      </c>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row>
    <row r="173" spans="1:40">
      <c r="A173" t="s">
        <v>1099</v>
      </c>
      <c r="B173" s="86" t="s">
        <v>1100</v>
      </c>
      <c r="C173" t="str">
        <f t="shared" si="55"/>
        <v>Perth1+1</v>
      </c>
      <c r="D173" s="46">
        <f>IF(+DropINTable!AB129=0,DropINTable!AC129,DropINTable!AB129)</f>
        <v>382.93966589483739</v>
      </c>
      <c r="E173" s="46">
        <f>IF(+DropINTable!AC129=0,DropINTable!AD129,DropINTable!AC129)</f>
        <v>382.93966589483739</v>
      </c>
      <c r="F173" s="46">
        <f>IF(+DropINTable!AD129=0,DropINTable!AE129,DropINTable!AD129)</f>
        <v>397.60051554506862</v>
      </c>
      <c r="G173" s="46">
        <f>IF(+DropINTable!AE129=0,DropINTable!AF129,DropINTable!AE129)</f>
        <v>422.33363091408944</v>
      </c>
      <c r="H173" s="46">
        <f>IF(+DropINTable!AF129=0,DropINTable!AG129,DropINTable!AF129)</f>
        <v>462.82197576894174</v>
      </c>
      <c r="I173" s="46">
        <f>IF(+DropINTable!AG129=0,DropINTable!AH129,DropINTable!AG129)</f>
        <v>525.45535140285972</v>
      </c>
      <c r="J173" s="46">
        <f>IF(+DropINTable!AH129=0,DropINTable!AI129,DropINTable!AH129)</f>
        <v>612.29808846060484</v>
      </c>
      <c r="K173" s="46">
        <f>IF(+DropINTable!AI129=0,DropINTable!AJ129,DropINTable!AI129)</f>
        <v>685.91702267135804</v>
      </c>
      <c r="L173" s="46">
        <f>IF(+DropINTable!AJ129=0,DropINTable!AK129,DropINTable!AJ129)</f>
        <v>767.83760108149534</v>
      </c>
      <c r="M173" s="46">
        <f>IF(+DropINTable!AK129=0,DropINTable!AL129,DropINTable!AK129)</f>
        <v>815.98422847471852</v>
      </c>
      <c r="N173" s="46">
        <f>IF(+DropINTable!AL129=0,DropINTable!AM129,DropINTable!AL129)</f>
        <v>881.68014013517563</v>
      </c>
      <c r="O173" s="46">
        <f>IF(+DropINTable!AM129=0,DropINTable!AN129,DropINTable!AM129)</f>
        <v>997.62637126121069</v>
      </c>
      <c r="P173" s="46">
        <f>IF(+DropINTable!AN129=0,DropINTable!AO129,DropINTable!AN129)</f>
        <v>1169.0915256736764</v>
      </c>
      <c r="Q173" s="46">
        <f>IF(+DropINTable!AO129=0,DropINTable!AP129,DropINTable!AO129)</f>
        <v>1183.8462811644001</v>
      </c>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row>
    <row r="174" spans="1:40">
      <c r="A174" t="s">
        <v>1101</v>
      </c>
      <c r="B174" s="86" t="s">
        <v>1102</v>
      </c>
      <c r="C174" t="str">
        <f t="shared" si="55"/>
        <v>Perth1+2</v>
      </c>
      <c r="D174" s="46">
        <f>IF(+DropINTable!AB130=0,DropINTable!AC130,DropINTable!AB130)</f>
        <v>493.22462166579726</v>
      </c>
      <c r="E174" s="46">
        <f>IF(+DropINTable!AC130=0,DropINTable!AD130,DropINTable!AC130)</f>
        <v>493.22462166579726</v>
      </c>
      <c r="F174" s="46">
        <f>IF(+DropINTable!AD130=0,DropINTable!AE130,DropINTable!AD130)</f>
        <v>507.86449741206053</v>
      </c>
      <c r="G174" s="46">
        <f>IF(+DropINTable!AE130=0,DropINTable!AF130,DropINTable!AE130)</f>
        <v>532.56223044720127</v>
      </c>
      <c r="H174" s="46">
        <f>IF(+DropINTable!AF130=0,DropINTable!AG130,DropINTable!AF130)</f>
        <v>572.99265486034744</v>
      </c>
      <c r="I174" s="46">
        <f>IF(+DropINTable!AG130=0,DropINTable!AH130,DropINTable!AG130)</f>
        <v>635.53642365333235</v>
      </c>
      <c r="J174" s="46">
        <f>IF(+DropINTable!AH130=0,DropINTable!AI130,DropINTable!AH130)</f>
        <v>722.25491966273228</v>
      </c>
      <c r="K174" s="46">
        <f>IF(+DropINTable!AI130=0,DropINTable!AJ130,DropINTable!AI130)</f>
        <v>795.76853666464933</v>
      </c>
      <c r="L174" s="46">
        <f>IF(+DropINTable!AJ130=0,DropINTable!AK130,DropINTable!AJ130)</f>
        <v>877.57191777130868</v>
      </c>
      <c r="M174" s="46">
        <f>IF(+DropINTable!AK130=0,DropINTable!AL130,DropINTable!AK130)</f>
        <v>925.64966155739194</v>
      </c>
      <c r="N174" s="46">
        <f>IF(+DropINTable!AL130=0,DropINTable!AM130,DropINTable!AL130)</f>
        <v>991.25158539862684</v>
      </c>
      <c r="O174" s="46">
        <f>IF(+DropINTable!AM130=0,DropINTable!AN130,DropINTable!AM130)</f>
        <v>1107.0319470452987</v>
      </c>
      <c r="P174" s="46">
        <f>IF(+DropINTable!AN130=0,DropINTable!AO130,DropINTable!AN130)</f>
        <v>1278.2517980578536</v>
      </c>
      <c r="Q174" s="46">
        <f>IF(+DropINTable!AO130=0,DropINTable!AP130,DropINTable!AO130)</f>
        <v>1292.9854442737951</v>
      </c>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row>
    <row r="175" spans="1:40">
      <c r="A175" t="s">
        <v>1103</v>
      </c>
      <c r="B175" s="86" t="s">
        <v>1104</v>
      </c>
      <c r="C175" t="str">
        <f t="shared" si="55"/>
        <v>Perth1+3</v>
      </c>
      <c r="D175" s="46">
        <f t="shared" ref="D175" si="59">+E175</f>
        <v>618.1284792790525</v>
      </c>
      <c r="E175" s="46">
        <f>IF(+DropINTable!AC131=0,DropINTable!AD131,DropINTable!AC131)</f>
        <v>618.1284792790525</v>
      </c>
      <c r="F175" s="46">
        <f>IF(+DropINTable!AD131=0,DropINTable!AE131,DropINTable!AD131)</f>
        <v>618.1284792790525</v>
      </c>
      <c r="G175" s="46">
        <f>IF(+DropINTable!AE131=0,DropINTable!AF131,DropINTable!AE131)</f>
        <v>642.79082998031311</v>
      </c>
      <c r="H175" s="46">
        <f>IF(+DropINTable!AF131=0,DropINTable!AG131,DropINTable!AF131)</f>
        <v>683.1633339517532</v>
      </c>
      <c r="I175" s="46">
        <f>IF(+DropINTable!AG131=0,DropINTable!AH131,DropINTable!AG131)</f>
        <v>745.61749590380498</v>
      </c>
      <c r="J175" s="46">
        <f>IF(+DropINTable!AH131=0,DropINTable!AI131,DropINTable!AH131)</f>
        <v>832.21175086485971</v>
      </c>
      <c r="K175" s="46">
        <f>IF(+DropINTable!AI131=0,DropINTable!AJ131,DropINTable!AI131)</f>
        <v>905.62005065794062</v>
      </c>
      <c r="L175" s="46">
        <f>IF(+DropINTable!AJ131=0,DropINTable!AK131,DropINTable!AJ131)</f>
        <v>987.30623446112202</v>
      </c>
      <c r="M175" s="46">
        <f>IF(+DropINTable!AK131=0,DropINTable!AL131,DropINTable!AK131)</f>
        <v>1035.3150946400654</v>
      </c>
      <c r="N175" s="46">
        <f>IF(+DropINTable!AL131=0,DropINTable!AM131,DropINTable!AL131)</f>
        <v>1100.8230306620781</v>
      </c>
      <c r="O175" s="46">
        <f>IF(+DropINTable!AM131=0,DropINTable!AN131,DropINTable!AM131)</f>
        <v>1216.4375228293866</v>
      </c>
      <c r="P175" s="46">
        <f>IF(+DropINTable!AN131=0,DropINTable!AO131,DropINTable!AN131)</f>
        <v>1387.4120704420309</v>
      </c>
      <c r="Q175" s="46">
        <f>IF(+DropINTable!AO131=0,DropINTable!AP131,DropINTable!AO131)</f>
        <v>1402.1246073831901</v>
      </c>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row>
    <row r="176" spans="1:40">
      <c r="B176" s="86" t="s">
        <v>1105</v>
      </c>
      <c r="C176" t="str">
        <f t="shared" ref="C176:C178" si="60">+CONCATENATE(A$163,B176)</f>
        <v>Perth1+4</v>
      </c>
      <c r="D176" s="46">
        <f>+D175+Per_child_accounting!AC$92</f>
        <v>715.63011540498042</v>
      </c>
      <c r="E176" s="46">
        <f>+E175+Per_child_accounting!AC$92</f>
        <v>715.63011540498042</v>
      </c>
      <c r="F176" s="46">
        <f>+F175+Per_child_accounting!AD$92</f>
        <v>715.53210292821132</v>
      </c>
      <c r="G176" s="46">
        <f>+G175+Per_child_accounting!AE$92</f>
        <v>740.02910442447774</v>
      </c>
      <c r="H176" s="46">
        <f>+H175+Per_child_accounting!AF$92</f>
        <v>780.13092952436</v>
      </c>
      <c r="I176" s="46">
        <f>+I175+Per_child_accounting!AG$92</f>
        <v>842.16636953280999</v>
      </c>
      <c r="J176" s="46">
        <f>+J175+Per_child_accounting!AH$92</f>
        <v>928.18005419607459</v>
      </c>
      <c r="K176" s="46">
        <f>+K175+Per_child_accounting!AI$92</f>
        <v>1001.0961865058542</v>
      </c>
      <c r="L176" s="46">
        <f>+L175+Per_child_accounting!AJ$92</f>
        <v>1082.2347081431822</v>
      </c>
      <c r="M176" s="46">
        <f>+M175+Per_child_accounting!AK$92</f>
        <v>1129.9216944226912</v>
      </c>
      <c r="N176" s="46">
        <f>+N175+Per_child_accounting!AL$92</f>
        <v>1194.9904326346643</v>
      </c>
      <c r="O176" s="46">
        <f>+O175+Per_child_accounting!AM$92</f>
        <v>1309.8297888842687</v>
      </c>
      <c r="P176" s="46">
        <f>+P175+Per_child_accounting!AN$92</f>
        <v>1479.6580370816414</v>
      </c>
      <c r="Q176" s="46">
        <f>+Q175+Per_child_accounting!AO$92</f>
        <v>1494.27193482399</v>
      </c>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row>
    <row r="177" spans="1:40">
      <c r="B177" s="86" t="s">
        <v>1106</v>
      </c>
      <c r="C177" t="str">
        <f t="shared" si="60"/>
        <v>Perth1+5</v>
      </c>
      <c r="D177" s="46">
        <f>+D176+Per_child_accounting!AC$92</f>
        <v>813.13175153090833</v>
      </c>
      <c r="E177" s="46">
        <f>+E176+Per_child_accounting!AC$92</f>
        <v>813.13175153090833</v>
      </c>
      <c r="F177" s="46">
        <f>+F176+Per_child_accounting!AD$92</f>
        <v>812.93572657737013</v>
      </c>
      <c r="G177" s="46">
        <f>+G176+Per_child_accounting!AE$92</f>
        <v>837.26737886864248</v>
      </c>
      <c r="H177" s="46">
        <f>+H176+Per_child_accounting!AF$92</f>
        <v>877.0985250969668</v>
      </c>
      <c r="I177" s="46">
        <f>+I176+Per_child_accounting!AG$92</f>
        <v>938.7152431618149</v>
      </c>
      <c r="J177" s="46">
        <f>+J176+Per_child_accounting!AH$92</f>
        <v>1024.1483575272896</v>
      </c>
      <c r="K177" s="46">
        <f>+K176+Per_child_accounting!AI$92</f>
        <v>1096.572322353768</v>
      </c>
      <c r="L177" s="46">
        <f>+L176+Per_child_accounting!AJ$92</f>
        <v>1177.1631818252422</v>
      </c>
      <c r="M177" s="46">
        <f>+M176+Per_child_accounting!AK$92</f>
        <v>1224.528294205317</v>
      </c>
      <c r="N177" s="46">
        <f>+N176+Per_child_accounting!AL$92</f>
        <v>1289.1578346072506</v>
      </c>
      <c r="O177" s="46">
        <f>+O176+Per_child_accounting!AM$92</f>
        <v>1403.2220549391509</v>
      </c>
      <c r="P177" s="46">
        <f>+P176+Per_child_accounting!AN$92</f>
        <v>1571.9040037212519</v>
      </c>
      <c r="Q177" s="46">
        <f>+Q176+Per_child_accounting!AO$92</f>
        <v>1586.4192622647899</v>
      </c>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row>
    <row r="178" spans="1:40">
      <c r="B178" s="86" t="s">
        <v>1107</v>
      </c>
      <c r="C178" t="str">
        <f t="shared" si="60"/>
        <v>Perth1+6</v>
      </c>
      <c r="D178" s="46">
        <f>+D177+Per_child_accounting!AC$92</f>
        <v>910.63338765683625</v>
      </c>
      <c r="E178" s="46">
        <f>+E177+Per_child_accounting!AC$92</f>
        <v>910.63338765683625</v>
      </c>
      <c r="F178" s="46">
        <f>+F177+Per_child_accounting!AD$92</f>
        <v>910.33935022652895</v>
      </c>
      <c r="G178" s="46">
        <f>+G177+Per_child_accounting!AE$92</f>
        <v>934.50565331280723</v>
      </c>
      <c r="H178" s="46">
        <f>+H177+Per_child_accounting!AF$92</f>
        <v>974.06612066957359</v>
      </c>
      <c r="I178" s="46">
        <f>+I177+Per_child_accounting!AG$92</f>
        <v>1035.2641167908198</v>
      </c>
      <c r="J178" s="46">
        <f>+J177+Per_child_accounting!AH$92</f>
        <v>1120.1166608585045</v>
      </c>
      <c r="K178" s="46">
        <f>+K177+Per_child_accounting!AI$92</f>
        <v>1192.0484582016816</v>
      </c>
      <c r="L178" s="46">
        <f>+L177+Per_child_accounting!AJ$92</f>
        <v>1272.0916555073022</v>
      </c>
      <c r="M178" s="46">
        <f>+M177+Per_child_accounting!AK$92</f>
        <v>1319.1348939879429</v>
      </c>
      <c r="N178" s="46">
        <f>+N177+Per_child_accounting!AL$92</f>
        <v>1383.3252365798369</v>
      </c>
      <c r="O178" s="46">
        <f>+O177+Per_child_accounting!AM$92</f>
        <v>1496.6143209940331</v>
      </c>
      <c r="P178" s="46">
        <f>+P177+Per_child_accounting!AN$92</f>
        <v>1664.1499703608624</v>
      </c>
      <c r="Q178" s="46">
        <f>+Q177+Per_child_accounting!AO$92</f>
        <v>1678.5665897055899</v>
      </c>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row>
    <row r="179" spans="1:40">
      <c r="D179" s="46"/>
      <c r="E179" s="46"/>
      <c r="F179" s="46"/>
      <c r="G179" s="46"/>
      <c r="H179" s="46"/>
      <c r="I179" s="46"/>
      <c r="J179" s="46"/>
      <c r="K179" s="46"/>
      <c r="L179" s="46"/>
      <c r="M179" s="46"/>
      <c r="N179" s="46"/>
      <c r="O179" s="46"/>
      <c r="P179" s="46"/>
      <c r="Q179" s="46"/>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row>
    <row r="180" spans="1:40" ht="28.5">
      <c r="A180" s="369" t="s">
        <v>242</v>
      </c>
      <c r="B180" s="369"/>
      <c r="C180" s="369"/>
      <c r="D180" s="46"/>
      <c r="E180" s="46"/>
      <c r="F180" s="46"/>
      <c r="G180" s="46"/>
      <c r="H180" s="46"/>
      <c r="I180" s="46"/>
      <c r="J180" s="46"/>
      <c r="K180" s="46"/>
      <c r="L180" s="46"/>
      <c r="M180" s="46"/>
      <c r="N180" s="46"/>
      <c r="O180" s="46"/>
      <c r="P180" s="46"/>
      <c r="Q180" s="46"/>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row>
    <row r="181" spans="1:40">
      <c r="A181" t="s">
        <v>1086</v>
      </c>
      <c r="B181" s="86" t="s">
        <v>1087</v>
      </c>
      <c r="C181" t="str">
        <f>+CONCATENATE(A$180,B181)</f>
        <v>Balance of WA2+0</v>
      </c>
      <c r="D181" s="46">
        <f>IF(+DropINTable!AB135=0,DropINTable!AC135,DropINTable!AB135)</f>
        <v>609.70019552407302</v>
      </c>
      <c r="E181" s="46">
        <f>IF(+DropINTable!AC135=0,DropINTable!AD135,DropINTable!AC135)</f>
        <v>609.70019552407302</v>
      </c>
      <c r="F181" s="46">
        <f>IF(+DropINTable!AD135=0,DropINTable!AE135,DropINTable!AD135)</f>
        <v>624.4336435553663</v>
      </c>
      <c r="G181" s="46">
        <f>IF(+DropINTable!AE135=0,DropINTable!AF135,DropINTable!AE135)</f>
        <v>649.28923403116551</v>
      </c>
      <c r="H181" s="46">
        <f>IF(+DropINTable!AF135=0,DropINTable!AG135,DropINTable!AF135)</f>
        <v>689.9780728077651</v>
      </c>
      <c r="I181" s="46">
        <f>IF(+DropINTable!AG135=0,DropINTable!AH135,DropINTable!AG135)</f>
        <v>752.92159871607714</v>
      </c>
      <c r="J181" s="46">
        <f>IF(+DropINTable!AH135=0,DropINTable!AI135,DropINTable!AH135)</f>
        <v>840.19436773036443</v>
      </c>
      <c r="K181" s="46">
        <f>IF(+DropINTable!AI135=0,DropINTable!AJ135,DropINTable!AI135)</f>
        <v>914.17785327856484</v>
      </c>
      <c r="L181" s="46">
        <f>IF(+DropINTable!AJ135=0,DropINTable!AK135,DropINTable!AJ135)</f>
        <v>996.50408847653955</v>
      </c>
      <c r="M181" s="46">
        <f>IF(+DropINTable!AK135=0,DropINTable!AL135,DropINTable!AK135)</f>
        <v>1044.8891281718584</v>
      </c>
      <c r="N181" s="46">
        <f>IF(+DropINTable!AL135=0,DropINTable!AM135,DropINTable!AL135)</f>
        <v>1110.9103570595191</v>
      </c>
      <c r="O181" s="46">
        <f>IF(+DropINTable!AM135=0,DropINTable!AN135,DropINTable!AM135)</f>
        <v>1227.4307372838803</v>
      </c>
      <c r="P181" s="46">
        <f>IF(+DropINTable!AN135=0,DropINTable!AO135,DropINTable!AN135)</f>
        <v>1399.7449623371085</v>
      </c>
      <c r="Q181" s="46">
        <f>IF(+DropINTable!AO135=0,DropINTable!AP135,DropINTable!AO135)</f>
        <v>1414.57278127677</v>
      </c>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row>
    <row r="182" spans="1:40">
      <c r="A182" t="s">
        <v>1088</v>
      </c>
      <c r="B182" s="86" t="s">
        <v>1089</v>
      </c>
      <c r="C182" t="str">
        <f t="shared" ref="C182:C192" si="61">+CONCATENATE(A$180,B182)</f>
        <v>Balance of WA2+1</v>
      </c>
      <c r="D182" s="46">
        <f t="shared" ref="D182:D183" si="62">+E182</f>
        <v>713.93152528677638</v>
      </c>
      <c r="E182" s="46">
        <f>IF(+DropINTable!AC136=0,DropINTable!AD136,DropINTable!AC136)</f>
        <v>713.93152528677638</v>
      </c>
      <c r="F182" s="46">
        <f>IF(+DropINTable!AD136=0,DropINTable!AE136,DropINTable!AD136)</f>
        <v>713.93152528677638</v>
      </c>
      <c r="G182" s="46">
        <f>IF(+DropINTable!AE136=0,DropINTable!AF136,DropINTable!AE136)</f>
        <v>738.89334662684621</v>
      </c>
      <c r="H182" s="46">
        <f>IF(+DropINTable!AF136=0,DropINTable!AG136,DropINTable!AF136)</f>
        <v>779.75608645103125</v>
      </c>
      <c r="I182" s="46">
        <f>IF(+DropINTable!AG136=0,DropINTable!AH136,DropINTable!AG136)</f>
        <v>842.96862630558451</v>
      </c>
      <c r="J182" s="46">
        <f>IF(+DropINTable!AH136=0,DropINTable!AI136,DropINTable!AH136)</f>
        <v>930.61439009597905</v>
      </c>
      <c r="K182" s="46">
        <f>IF(+DropINTable!AI136=0,DropINTable!AJ136,DropINTable!AI136)</f>
        <v>1004.9140728013243</v>
      </c>
      <c r="L182" s="46">
        <f>IF(+DropINTable!AJ136=0,DropINTable!AK136,DropINTable!AJ136)</f>
        <v>1087.5921623528257</v>
      </c>
      <c r="M182" s="46">
        <f>IF(+DropINTable!AK136=0,DropINTable!AL136,DropINTable!AK136)</f>
        <v>1136.1839954336237</v>
      </c>
      <c r="N182" s="46">
        <f>IF(+DropINTable!AL136=0,DropINTable!AM136,DropINTable!AL136)</f>
        <v>1202.487390433208</v>
      </c>
      <c r="O182" s="46">
        <f>IF(+DropINTable!AM136=0,DropINTable!AN136,DropINTable!AM136)</f>
        <v>1319.5057667767808</v>
      </c>
      <c r="P182" s="46">
        <f>IF(+DropINTable!AN136=0,DropINTable!AO136,DropINTable!AN136)</f>
        <v>1492.5564456581731</v>
      </c>
      <c r="Q182" s="46">
        <f>IF(+DropINTable!AO136=0,DropINTable!AP136,DropINTable!AO136)</f>
        <v>1507.4476379951857</v>
      </c>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row>
    <row r="183" spans="1:40">
      <c r="A183" t="s">
        <v>1090</v>
      </c>
      <c r="B183" s="86" t="s">
        <v>1091</v>
      </c>
      <c r="C183" t="str">
        <f t="shared" si="61"/>
        <v>Balance of WA2+2</v>
      </c>
      <c r="D183" s="46">
        <f t="shared" si="62"/>
        <v>779.9590009204926</v>
      </c>
      <c r="E183" s="46">
        <f>IF(+DropINTable!AC137=0,DropINTable!AD137,DropINTable!AC137)</f>
        <v>779.9590009204926</v>
      </c>
      <c r="F183" s="46">
        <f>IF(+DropINTable!AD137=0,DropINTable!AE137,DropINTable!AD137)</f>
        <v>779.9590009204926</v>
      </c>
      <c r="G183" s="46">
        <f>IF(+DropINTable!AE137=0,DropINTable!AF137,DropINTable!AE137)</f>
        <v>804.75786088652512</v>
      </c>
      <c r="H183" s="46">
        <f>IF(+DropINTable!AF137=0,DropINTable!AG137,DropINTable!AF137)</f>
        <v>845.3538286625336</v>
      </c>
      <c r="I183" s="46">
        <f>IF(+DropINTable!AG137=0,DropINTable!AH137,DropINTable!AG137)</f>
        <v>908.15369037716857</v>
      </c>
      <c r="J183" s="46">
        <f>IF(+DropINTable!AH137=0,DropINTable!AI137,DropINTable!AH137)</f>
        <v>995.22726538257325</v>
      </c>
      <c r="K183" s="46">
        <f>IF(+DropINTable!AI137=0,DropINTable!AJ137,DropINTable!AI137)</f>
        <v>1069.0418869284251</v>
      </c>
      <c r="L183" s="46">
        <f>IF(+DropINTable!AJ137=0,DropINTable!AK137,DropINTable!AJ137)</f>
        <v>1151.1802189807072</v>
      </c>
      <c r="M183" s="46">
        <f>IF(+DropINTable!AK137=0,DropINTable!AL137,DropINTable!AK137)</f>
        <v>1199.454825639034</v>
      </c>
      <c r="N183" s="46">
        <f>IF(+DropINTable!AL137=0,DropINTable!AM137,DropINTable!AL137)</f>
        <v>1265.3253618670931</v>
      </c>
      <c r="O183" s="46">
        <f>IF(+DropINTable!AM137=0,DropINTable!AN137,DropINTable!AM137)</f>
        <v>1381.5797928897491</v>
      </c>
      <c r="P183" s="46">
        <f>IF(+DropINTable!AN137=0,DropINTable!AO137,DropINTable!AN137)</f>
        <v>1553.5007228254112</v>
      </c>
      <c r="Q183" s="46">
        <f>IF(+DropINTable!AO137=0,DropINTable!AP137,DropINTable!AO137)</f>
        <v>1568.2946985208391</v>
      </c>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row>
    <row r="184" spans="1:40">
      <c r="A184" t="s">
        <v>1092</v>
      </c>
      <c r="B184" s="86" t="s">
        <v>1093</v>
      </c>
      <c r="C184" t="str">
        <f t="shared" si="61"/>
        <v>Balance of WA2+3</v>
      </c>
      <c r="D184" s="46">
        <f t="shared" ref="D184" si="63">+F184</f>
        <v>872.04396394611854</v>
      </c>
      <c r="E184" s="46">
        <f>+F184</f>
        <v>872.04396394611854</v>
      </c>
      <c r="F184" s="46">
        <f>IF(+DropINTable!AD138=0,DropINTable!AE138,DropINTable!AD138)</f>
        <v>872.04396394611854</v>
      </c>
      <c r="G184" s="46">
        <f>IF(+DropINTable!AE138=0,DropINTable!AF138,DropINTable!AE138)</f>
        <v>872.04396394611854</v>
      </c>
      <c r="H184" s="46">
        <f>IF(+DropINTable!AF138=0,DropINTable!AG138,DropINTable!AF138)</f>
        <v>912.62518763897549</v>
      </c>
      <c r="I184" s="46">
        <f>IF(+DropINTable!AG138=0,DropINTable!AH138,DropINTable!AG138)</f>
        <v>975.40223867880491</v>
      </c>
      <c r="J184" s="46">
        <f>IF(+DropINTable!AH138=0,DropINTable!AI138,DropINTable!AH138)</f>
        <v>1062.4441873364558</v>
      </c>
      <c r="K184" s="46">
        <f>IF(+DropINTable!AI138=0,DropINTable!AJ138,DropINTable!AI138)</f>
        <v>1136.2319966195737</v>
      </c>
      <c r="L184" s="46">
        <f>IF(+DropINTable!AJ138=0,DropINTable!AK138,DropINTable!AJ138)</f>
        <v>1218.3404939228787</v>
      </c>
      <c r="M184" s="46">
        <f>IF(+DropINTable!AK138=0,DropINTable!AL138,DropINTable!AK138)</f>
        <v>1266.5975627277169</v>
      </c>
      <c r="N184" s="46">
        <f>IF(+DropINTable!AL138=0,DropINTable!AM138,DropINTable!AL138)</f>
        <v>1332.4441750174551</v>
      </c>
      <c r="O184" s="46">
        <f>IF(+DropINTable!AM138=0,DropINTable!AN138,DropINTable!AM138)</f>
        <v>1448.6563758285724</v>
      </c>
      <c r="P184" s="46">
        <f>IF(+DropINTable!AN138=0,DropINTable!AO138,DropINTable!AN138)</f>
        <v>1620.5148603683758</v>
      </c>
      <c r="Q184" s="46">
        <f>IF(+DropINTable!AO138=0,DropINTable!AP138,DropINTable!AO138)</f>
        <v>1635.3034621745571</v>
      </c>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row>
    <row r="185" spans="1:40">
      <c r="B185" s="86" t="s">
        <v>1094</v>
      </c>
      <c r="C185" t="str">
        <f t="shared" ref="C185:C187" si="64">+CONCATENATE(A$180,B185)</f>
        <v>Balance of WA2+4</v>
      </c>
      <c r="D185" s="46">
        <f>+D184+Per_child_accounting!$AD$97</f>
        <v>961.54184567752861</v>
      </c>
      <c r="E185" s="46">
        <f>+E184+Per_child_accounting!$AD$97</f>
        <v>961.54184567752861</v>
      </c>
      <c r="F185" s="46">
        <f>+F184+Per_child_accounting!AD$97</f>
        <v>961.54184567752861</v>
      </c>
      <c r="G185" s="46">
        <f>+G184+Per_child_accounting!AE$97</f>
        <v>961.64807654179924</v>
      </c>
      <c r="H185" s="46">
        <f>+H184+Per_child_accounting!AF$97</f>
        <v>1002.4032012822416</v>
      </c>
      <c r="I185" s="46">
        <f>+I184+Per_child_accounting!AG$97</f>
        <v>1065.4492662683124</v>
      </c>
      <c r="J185" s="46">
        <f>+J184+Per_child_accounting!AH$97</f>
        <v>1152.8642097020704</v>
      </c>
      <c r="K185" s="46">
        <f>+K184+Per_child_accounting!AI$97</f>
        <v>1226.9682161423332</v>
      </c>
      <c r="L185" s="46">
        <f>+L184+Per_child_accounting!AJ$97</f>
        <v>1309.4285677991647</v>
      </c>
      <c r="M185" s="46">
        <f>+M184+Per_child_accounting!AK$97</f>
        <v>1357.8924299894823</v>
      </c>
      <c r="N185" s="46">
        <f>+N184+Per_child_accounting!AL$97</f>
        <v>1424.021208391144</v>
      </c>
      <c r="O185" s="46">
        <f>+O184+Per_child_accounting!AM$97</f>
        <v>1540.7314053214729</v>
      </c>
      <c r="P185" s="46">
        <f>+P184+Per_child_accounting!AN$97</f>
        <v>1713.3263436894404</v>
      </c>
      <c r="Q185" s="46">
        <f>+Q184+Per_child_accounting!AO$97</f>
        <v>1728.1783188929728</v>
      </c>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row>
    <row r="186" spans="1:40">
      <c r="B186" s="86" t="s">
        <v>1095</v>
      </c>
      <c r="C186" t="str">
        <f t="shared" si="64"/>
        <v>Balance of WA2+5</v>
      </c>
      <c r="D186" s="46">
        <f>+D185+Per_child_accounting!$AD$97</f>
        <v>1051.0397274089387</v>
      </c>
      <c r="E186" s="46">
        <f>+E185+Per_child_accounting!$AD$97</f>
        <v>1051.0397274089387</v>
      </c>
      <c r="F186" s="46">
        <f>+F185+Per_child_accounting!$AD$97</f>
        <v>1051.0397274089387</v>
      </c>
      <c r="G186" s="46">
        <f>+G185+Per_child_accounting!AE$97</f>
        <v>1051.2521891374799</v>
      </c>
      <c r="H186" s="46">
        <f>+H185+Per_child_accounting!AF$97</f>
        <v>1092.1812149255079</v>
      </c>
      <c r="I186" s="46">
        <f>+I185+Per_child_accounting!AG$97</f>
        <v>1155.4962938578196</v>
      </c>
      <c r="J186" s="46">
        <f>+J185+Per_child_accounting!AH$97</f>
        <v>1243.284232067685</v>
      </c>
      <c r="K186" s="46">
        <f>+K185+Per_child_accounting!AI$97</f>
        <v>1317.7044356650927</v>
      </c>
      <c r="L186" s="46">
        <f>+L185+Per_child_accounting!AJ$97</f>
        <v>1400.516641675451</v>
      </c>
      <c r="M186" s="46">
        <f>+M185+Per_child_accounting!AK$97</f>
        <v>1449.1872972512476</v>
      </c>
      <c r="N186" s="46">
        <f>+N185+Per_child_accounting!AL$97</f>
        <v>1515.5982417648329</v>
      </c>
      <c r="O186" s="46">
        <f>+O185+Per_child_accounting!AM$97</f>
        <v>1632.8064348143735</v>
      </c>
      <c r="P186" s="46">
        <f>+P185+Per_child_accounting!AN$97</f>
        <v>1806.1378270105049</v>
      </c>
      <c r="Q186" s="46">
        <f>+Q185+Per_child_accounting!AO$97</f>
        <v>1821.0531756113885</v>
      </c>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row>
    <row r="187" spans="1:40">
      <c r="B187" s="86" t="s">
        <v>1096</v>
      </c>
      <c r="C187" t="str">
        <f t="shared" si="64"/>
        <v>Balance of WA2+6</v>
      </c>
      <c r="D187" s="46">
        <f>+D186+Per_child_accounting!$AD$97</f>
        <v>1140.5376091403486</v>
      </c>
      <c r="E187" s="46">
        <f>+E186+Per_child_accounting!$AD$97</f>
        <v>1140.5376091403486</v>
      </c>
      <c r="F187" s="46">
        <f>+F186+Per_child_accounting!$AD$97</f>
        <v>1140.5376091403486</v>
      </c>
      <c r="G187" s="46">
        <f>+G186+Per_child_accounting!AE$97</f>
        <v>1140.8563017331608</v>
      </c>
      <c r="H187" s="46">
        <f>+H186+Per_child_accounting!AF$97</f>
        <v>1181.9592285687741</v>
      </c>
      <c r="I187" s="46">
        <f>+I186+Per_child_accounting!AG$97</f>
        <v>1245.5433214473269</v>
      </c>
      <c r="J187" s="46">
        <f>+J186+Per_child_accounting!AH$97</f>
        <v>1333.7042544332996</v>
      </c>
      <c r="K187" s="46">
        <f>+K186+Per_child_accounting!AI$97</f>
        <v>1408.4406551878521</v>
      </c>
      <c r="L187" s="46">
        <f>+L186+Per_child_accounting!AJ$97</f>
        <v>1491.6047155517372</v>
      </c>
      <c r="M187" s="46">
        <f>+M186+Per_child_accounting!AK$97</f>
        <v>1540.482164513013</v>
      </c>
      <c r="N187" s="46">
        <f>+N186+Per_child_accounting!AL$97</f>
        <v>1607.1752751385218</v>
      </c>
      <c r="O187" s="46">
        <f>+O186+Per_child_accounting!AM$97</f>
        <v>1724.881464307274</v>
      </c>
      <c r="P187" s="46">
        <f>+P186+Per_child_accounting!AN$97</f>
        <v>1898.9493103315694</v>
      </c>
      <c r="Q187" s="46">
        <f>+Q186+Per_child_accounting!AO$97</f>
        <v>1913.9280323298042</v>
      </c>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row>
    <row r="188" spans="1:40">
      <c r="B188" s="86"/>
      <c r="D188" s="46"/>
      <c r="E188" s="46"/>
      <c r="F188" s="46"/>
      <c r="G188" s="46"/>
      <c r="H188" s="46"/>
      <c r="I188" s="46"/>
      <c r="J188" s="46"/>
      <c r="K188" s="46"/>
      <c r="L188" s="46"/>
      <c r="M188" s="46"/>
      <c r="N188" s="46"/>
      <c r="O188" s="46"/>
      <c r="P188" s="46"/>
      <c r="Q188" s="46"/>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row>
    <row r="189" spans="1:40">
      <c r="A189" t="s">
        <v>1097</v>
      </c>
      <c r="B189" s="86" t="s">
        <v>1098</v>
      </c>
      <c r="C189" t="str">
        <f t="shared" si="61"/>
        <v>Balance of WA1+0</v>
      </c>
      <c r="D189" s="46">
        <f>IF(+DropINTable!AB140=0,DropINTable!AC140,DropINTable!AB140)</f>
        <v>322.11982905669964</v>
      </c>
      <c r="E189" s="46">
        <f>IF(+DropINTable!AC140=0,DropINTable!AD140,DropINTable!AC140)</f>
        <v>337.52351104861827</v>
      </c>
      <c r="F189" s="46">
        <f>IF(+DropINTable!AD140=0,DropINTable!AE140,DropINTable!AD140)</f>
        <v>352.28237314035619</v>
      </c>
      <c r="G189" s="46">
        <f>IF(+DropINTable!AE140=0,DropINTable!AF140,DropINTable!AE140)</f>
        <v>377.18083748814547</v>
      </c>
      <c r="H189" s="46">
        <f>IF(+DropINTable!AF140=0,DropINTable!AG140,DropINTable!AF140)</f>
        <v>417.93986107128728</v>
      </c>
      <c r="I189" s="46">
        <f>IF(+DropINTable!AG140=0,DropINTable!AH140,DropINTable!AG140)</f>
        <v>480.99195883297864</v>
      </c>
      <c r="J189" s="46">
        <f>IF(+DropINTable!AH140=0,DropINTable!AI140,DropINTable!AH140)</f>
        <v>568.41526586471468</v>
      </c>
      <c r="K189" s="46">
        <f>IF(+DropINTable!AI140=0,DropINTable!AJ140,DropINTable!AI140)</f>
        <v>642.5263676667023</v>
      </c>
      <c r="L189" s="46">
        <f>IF(+DropINTable!AJ140=0,DropINTable!AK140,DropINTable!AJ140)</f>
        <v>724.99460854422011</v>
      </c>
      <c r="M189" s="46">
        <f>IF(+DropINTable!AK140=0,DropINTable!AL140,DropINTable!AK140)</f>
        <v>773.4631102823156</v>
      </c>
      <c r="N189" s="46">
        <f>IF(+DropINTable!AL140=0,DropINTable!AM140,DropINTable!AL140)</f>
        <v>839.59821938275616</v>
      </c>
      <c r="O189" s="46">
        <f>IF(+DropINTable!AM140=0,DropINTable!AN140,DropINTable!AM140)</f>
        <v>956.31958691990371</v>
      </c>
      <c r="P189" s="46">
        <f>IF(+DropINTable!AN140=0,DropINTable!AO140,DropINTable!AN140)</f>
        <v>1128.9310411862261</v>
      </c>
      <c r="Q189" s="46">
        <f>IF(+DropINTable!AO140=0,DropINTable!AP140,DropINTable!AO140)</f>
        <v>1143.7844348546796</v>
      </c>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row>
    <row r="190" spans="1:40">
      <c r="A190" t="s">
        <v>1099</v>
      </c>
      <c r="B190" s="86" t="s">
        <v>1100</v>
      </c>
      <c r="C190" t="str">
        <f t="shared" si="61"/>
        <v>Balance of WA1+1</v>
      </c>
      <c r="D190" s="46">
        <f>IF(+DropINTable!AB141=0,DropINTable!AC141,DropINTable!AB141)</f>
        <v>434.67925137862574</v>
      </c>
      <c r="E190" s="46">
        <f>IF(+DropINTable!AC141=0,DropINTable!AD141,DropINTable!AC141)</f>
        <v>434.67925137862574</v>
      </c>
      <c r="F190" s="46">
        <f>IF(+DropINTable!AD141=0,DropINTable!AE141,DropINTable!AD141)</f>
        <v>449.34010124085989</v>
      </c>
      <c r="G190" s="46">
        <f>IF(+DropINTable!AE141=0,DropINTable!AF141,DropINTable!AE141)</f>
        <v>474.07321759922786</v>
      </c>
      <c r="H190" s="46">
        <f>IF(+DropINTable!AF141=0,DropINTable!AG141,DropINTable!AF141)</f>
        <v>514.56156155559142</v>
      </c>
      <c r="I190" s="46">
        <f>IF(+DropINTable!AG141=0,DropINTable!AH141,DropINTable!AG141)</f>
        <v>577.19493848171794</v>
      </c>
      <c r="J190" s="46">
        <f>IF(+DropINTable!AH141=0,DropINTable!AI141,DropINTable!AH141)</f>
        <v>664.03767428763626</v>
      </c>
      <c r="K190" s="46">
        <f>IF(+DropINTable!AI141=0,DropINTable!AJ141,DropINTable!AI141)</f>
        <v>737.65660979059771</v>
      </c>
      <c r="L190" s="46">
        <f>IF(+DropINTable!AJ141=0,DropINTable!AK141,DropINTable!AJ141)</f>
        <v>819.57718686814508</v>
      </c>
      <c r="M190" s="46">
        <f>IF(+DropINTable!AK141=0,DropINTable!AL141,DropINTable!AK141)</f>
        <v>867.72381143466203</v>
      </c>
      <c r="N190" s="46">
        <f>IF(+DropINTable!AL141=0,DropINTable!AM141,DropINTable!AL141)</f>
        <v>933.4197233374083</v>
      </c>
      <c r="O190" s="46">
        <f>IF(+DropINTable!AM141=0,DropINTable!AN141,DropINTable!AM141)</f>
        <v>1049.3659557556518</v>
      </c>
      <c r="P190" s="46">
        <f>IF(+DropINTable!AN141=0,DropINTable!AO141,DropINTable!AN141)</f>
        <v>1220.8311103296437</v>
      </c>
      <c r="Q190" s="46">
        <f>IF(+DropINTable!AO141=0,DropINTable!AP141,DropINTable!AO141)</f>
        <v>1235.5858669510499</v>
      </c>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row>
    <row r="191" spans="1:40">
      <c r="A191" t="s">
        <v>1101</v>
      </c>
      <c r="B191" s="86" t="s">
        <v>1102</v>
      </c>
      <c r="C191" t="str">
        <f t="shared" si="61"/>
        <v>Balance of WA1+2</v>
      </c>
      <c r="D191" s="46">
        <f>IF(+DropINTable!AB142=0,DropINTable!AC142,DropINTable!AB142)</f>
        <v>544.89018929087013</v>
      </c>
      <c r="E191" s="46">
        <f>IF(+DropINTable!AC142=0,DropINTable!AD142,DropINTable!AC142)</f>
        <v>544.89018929087013</v>
      </c>
      <c r="F191" s="46">
        <f>IF(+DropINTable!AD142=0,DropINTable!AE142,DropINTable!AD142)</f>
        <v>559.53006523274632</v>
      </c>
      <c r="G191" s="46">
        <f>IF(+DropINTable!AE142=0,DropINTable!AF142,DropINTable!AE142)</f>
        <v>584.22779555375598</v>
      </c>
      <c r="H191" s="46">
        <f>IF(+DropINTable!AF142=0,DropINTable!AG142,DropINTable!AF142)</f>
        <v>624.65822084716081</v>
      </c>
      <c r="I191" s="46">
        <f>IF(+DropINTable!AG142=0,DropINTable!AH142,DropINTable!AG142)</f>
        <v>687.20198949343603</v>
      </c>
      <c r="J191" s="46">
        <f>IF(+DropINTable!AH142=0,DropINTable!AI142,DropINTable!AH142)</f>
        <v>773.92048692103049</v>
      </c>
      <c r="K191" s="46">
        <f>IF(+DropINTable!AI142=0,DropINTable!AJ142,DropINTable!AI142)</f>
        <v>847.43410093984858</v>
      </c>
      <c r="L191" s="46">
        <f>IF(+DropINTable!AJ142=0,DropINTable!AK142,DropINTable!AJ142)</f>
        <v>929.23748361141224</v>
      </c>
      <c r="M191" s="46">
        <f>IF(+DropINTable!AK142=0,DropINTable!AL142,DropINTable!AK142)</f>
        <v>977.31522964704561</v>
      </c>
      <c r="N191" s="46">
        <f>IF(+DropINTable!AL142=0,DropINTable!AM142,DropINTable!AL142)</f>
        <v>1042.9171543685395</v>
      </c>
      <c r="O191" s="46">
        <f>IF(+DropINTable!AM142=0,DropINTable!AN142,DropINTable!AM142)</f>
        <v>1158.6975163086311</v>
      </c>
      <c r="P191" s="46">
        <f>IF(+DropINTable!AN142=0,DropINTable!AO142,DropINTable!AN142)</f>
        <v>1329.9173658540878</v>
      </c>
      <c r="Q191" s="46">
        <f>IF(+DropINTable!AO142=0,DropINTable!AP142,DropINTable!AO142)</f>
        <v>1344.6510116788031</v>
      </c>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row>
    <row r="192" spans="1:40">
      <c r="A192" t="s">
        <v>1103</v>
      </c>
      <c r="B192" s="86" t="s">
        <v>1104</v>
      </c>
      <c r="C192" t="str">
        <f t="shared" si="61"/>
        <v>Balance of WA1+3</v>
      </c>
      <c r="D192" s="46">
        <f t="shared" ref="D192" si="65">+E192</f>
        <v>669.72002922463275</v>
      </c>
      <c r="E192" s="46">
        <f>IF(+DropINTable!AC143=0,DropINTable!AD143,DropINTable!AC143)</f>
        <v>669.72002922463275</v>
      </c>
      <c r="F192" s="46">
        <f>IF(+DropINTable!AD143=0,DropINTable!AE143,DropINTable!AD143)</f>
        <v>669.72002922463275</v>
      </c>
      <c r="G192" s="46">
        <f>IF(+DropINTable!AE143=0,DropINTable!AF143,DropINTable!AE143)</f>
        <v>694.3823735082841</v>
      </c>
      <c r="H192" s="46">
        <f>IF(+DropINTable!AF143=0,DropINTable!AG143,DropINTable!AF143)</f>
        <v>734.75488013873019</v>
      </c>
      <c r="I192" s="46">
        <f>IF(+DropINTable!AG143=0,DropINTable!AH143,DropINTable!AG143)</f>
        <v>797.20904050515412</v>
      </c>
      <c r="J192" s="46">
        <f>IF(+DropINTable!AH143=0,DropINTable!AI143,DropINTable!AH143)</f>
        <v>883.80329955442471</v>
      </c>
      <c r="K192" s="46">
        <f>IF(+DropINTable!AI143=0,DropINTable!AJ143,DropINTable!AI143)</f>
        <v>957.21159208909944</v>
      </c>
      <c r="L192" s="46">
        <f>IF(+DropINTable!AJ143=0,DropINTable!AK143,DropINTable!AJ143)</f>
        <v>1038.8977803546795</v>
      </c>
      <c r="M192" s="46">
        <f>IF(+DropINTable!AK143=0,DropINTable!AL143,DropINTable!AK143)</f>
        <v>1086.9066478594291</v>
      </c>
      <c r="N192" s="46">
        <f>IF(+DropINTable!AL143=0,DropINTable!AM143,DropINTable!AL143)</f>
        <v>1152.4145853996706</v>
      </c>
      <c r="O192" s="46">
        <f>IF(+DropINTable!AM143=0,DropINTable!AN143,DropINTable!AM143)</f>
        <v>1268.0290768616103</v>
      </c>
      <c r="P192" s="46">
        <f>IF(+DropINTable!AN143=0,DropINTable!AO143,DropINTable!AN143)</f>
        <v>1439.003621378532</v>
      </c>
      <c r="Q192" s="46">
        <f>IF(+DropINTable!AO143=0,DropINTable!AP143,DropINTable!AO143)</f>
        <v>1453.7161564065564</v>
      </c>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row>
    <row r="193" spans="1:40">
      <c r="B193" s="86" t="s">
        <v>1105</v>
      </c>
      <c r="C193" t="str">
        <f t="shared" ref="C193:C195" si="66">+CONCATENATE(A$180,B193)</f>
        <v>Balance of WA1+4</v>
      </c>
      <c r="D193" s="46">
        <f>+D192+Per_child_accounting!AC$100</f>
        <v>766.87576955464021</v>
      </c>
      <c r="E193" s="46">
        <f>+E192+Per_child_accounting!AC$100</f>
        <v>766.87576955464021</v>
      </c>
      <c r="F193" s="46">
        <f>+F192+Per_child_accounting!AD$100</f>
        <v>766.77775732513646</v>
      </c>
      <c r="G193" s="46">
        <f>+G192+Per_child_accounting!AE$100</f>
        <v>791.27475361936649</v>
      </c>
      <c r="H193" s="46">
        <f>+H192+Per_child_accounting!AF$100</f>
        <v>831.37658062303433</v>
      </c>
      <c r="I193" s="46">
        <f>+I192+Per_child_accounting!AG$100</f>
        <v>893.41202015389342</v>
      </c>
      <c r="J193" s="46">
        <f>+J192+Per_child_accounting!AH$100</f>
        <v>979.42570797734629</v>
      </c>
      <c r="K193" s="46">
        <f>+K192+Per_child_accounting!AI$100</f>
        <v>1052.3418342129949</v>
      </c>
      <c r="L193" s="46">
        <f>+L192+Per_child_accounting!AJ$100</f>
        <v>1133.4803586786045</v>
      </c>
      <c r="M193" s="46">
        <f>+M192+Per_child_accounting!AK$100</f>
        <v>1181.1673490117755</v>
      </c>
      <c r="N193" s="46">
        <f>+N192+Per_child_accounting!AL$100</f>
        <v>1246.2360893543228</v>
      </c>
      <c r="O193" s="46">
        <f>+O192+Per_child_accounting!AM$100</f>
        <v>1361.0754456973584</v>
      </c>
      <c r="P193" s="46">
        <f>+P192+Per_child_accounting!AN$100</f>
        <v>1530.9036905219496</v>
      </c>
      <c r="Q193" s="46">
        <f>+Q192+Per_child_accounting!AO$100</f>
        <v>1545.5175885029266</v>
      </c>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row>
    <row r="194" spans="1:40">
      <c r="B194" s="86" t="s">
        <v>1106</v>
      </c>
      <c r="C194" t="str">
        <f t="shared" si="66"/>
        <v>Balance of WA1+5</v>
      </c>
      <c r="D194" s="46">
        <f>+D193+Per_child_accounting!AC$100</f>
        <v>864.03150988464768</v>
      </c>
      <c r="E194" s="46">
        <f>+E193+Per_child_accounting!AC$100</f>
        <v>864.03150988464768</v>
      </c>
      <c r="F194" s="46">
        <f>+F193+Per_child_accounting!AD$100</f>
        <v>863.83548542564017</v>
      </c>
      <c r="G194" s="46">
        <f>+G193+Per_child_accounting!AE$100</f>
        <v>888.16713373044888</v>
      </c>
      <c r="H194" s="46">
        <f>+H193+Per_child_accounting!AF$100</f>
        <v>927.99828110733847</v>
      </c>
      <c r="I194" s="46">
        <f>+I193+Per_child_accounting!AG$100</f>
        <v>989.61499980263272</v>
      </c>
      <c r="J194" s="46">
        <f>+J193+Per_child_accounting!AH$100</f>
        <v>1075.0481164002679</v>
      </c>
      <c r="K194" s="46">
        <f>+K193+Per_child_accounting!AI$100</f>
        <v>1147.4720763368903</v>
      </c>
      <c r="L194" s="46">
        <f>+L193+Per_child_accounting!AJ$100</f>
        <v>1228.0629370025295</v>
      </c>
      <c r="M194" s="46">
        <f>+M193+Per_child_accounting!AK$100</f>
        <v>1275.4280501641219</v>
      </c>
      <c r="N194" s="46">
        <f>+N193+Per_child_accounting!AL$100</f>
        <v>1340.0575933089749</v>
      </c>
      <c r="O194" s="46">
        <f>+O193+Per_child_accounting!AM$100</f>
        <v>1454.1218145331065</v>
      </c>
      <c r="P194" s="46">
        <f>+P193+Per_child_accounting!AN$100</f>
        <v>1622.8037596653671</v>
      </c>
      <c r="Q194" s="46">
        <f>+Q193+Per_child_accounting!AO$100</f>
        <v>1637.3190205992969</v>
      </c>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row>
    <row r="195" spans="1:40">
      <c r="B195" s="86" t="s">
        <v>1107</v>
      </c>
      <c r="C195" t="str">
        <f t="shared" si="66"/>
        <v>Balance of WA1+6</v>
      </c>
      <c r="D195" s="46">
        <f>+D194+Per_child_accounting!AC$100</f>
        <v>961.18725021465514</v>
      </c>
      <c r="E195" s="46">
        <f>+E194+Per_child_accounting!AC$100</f>
        <v>961.18725021465514</v>
      </c>
      <c r="F195" s="46">
        <f>+F194+Per_child_accounting!AD$100</f>
        <v>960.89321352614388</v>
      </c>
      <c r="G195" s="46">
        <f>+G194+Per_child_accounting!AE$100</f>
        <v>985.05951384153127</v>
      </c>
      <c r="H195" s="46">
        <f>+H194+Per_child_accounting!AF$100</f>
        <v>1024.6199815916425</v>
      </c>
      <c r="I195" s="46">
        <f>+I194+Per_child_accounting!AG$100</f>
        <v>1085.8179794513721</v>
      </c>
      <c r="J195" s="46">
        <f>+J194+Per_child_accounting!AH$100</f>
        <v>1170.6705248231895</v>
      </c>
      <c r="K195" s="46">
        <f>+K194+Per_child_accounting!AI$100</f>
        <v>1242.6023184607857</v>
      </c>
      <c r="L195" s="46">
        <f>+L194+Per_child_accounting!AJ$100</f>
        <v>1322.6455153264544</v>
      </c>
      <c r="M195" s="46">
        <f>+M194+Per_child_accounting!AK$100</f>
        <v>1369.6887513164684</v>
      </c>
      <c r="N195" s="46">
        <f>+N194+Per_child_accounting!AL$100</f>
        <v>1433.879097263627</v>
      </c>
      <c r="O195" s="46">
        <f>+O194+Per_child_accounting!AM$100</f>
        <v>1547.1681833688547</v>
      </c>
      <c r="P195" s="46">
        <f>+P194+Per_child_accounting!AN$100</f>
        <v>1714.7038288087847</v>
      </c>
      <c r="Q195" s="46">
        <f>+Q194+Per_child_accounting!AO$100</f>
        <v>1729.1204526956672</v>
      </c>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row>
    <row r="196" spans="1:40">
      <c r="D196" s="46"/>
      <c r="E196" s="46"/>
      <c r="F196" s="46"/>
      <c r="G196" s="46"/>
      <c r="H196" s="46"/>
      <c r="I196" s="46"/>
      <c r="J196" s="46"/>
      <c r="K196" s="46"/>
      <c r="L196" s="46"/>
      <c r="M196" s="46"/>
      <c r="N196" s="46"/>
      <c r="O196" s="46"/>
      <c r="P196" s="46"/>
      <c r="Q196" s="46"/>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row>
    <row r="197" spans="1:40" ht="28.5">
      <c r="A197" s="369" t="s">
        <v>235</v>
      </c>
      <c r="B197" s="369"/>
      <c r="C197" s="369"/>
      <c r="D197" s="46"/>
      <c r="E197" s="46"/>
      <c r="F197" s="46"/>
      <c r="G197" s="46"/>
      <c r="H197" s="46"/>
      <c r="I197" s="46"/>
      <c r="J197" s="46"/>
      <c r="K197" s="46"/>
      <c r="L197" s="46"/>
      <c r="M197" s="46"/>
      <c r="N197" s="46"/>
      <c r="O197" s="46"/>
      <c r="P197" s="46"/>
      <c r="Q197" s="46"/>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row>
    <row r="198" spans="1:40">
      <c r="A198" t="s">
        <v>1086</v>
      </c>
      <c r="B198" s="86" t="s">
        <v>1087</v>
      </c>
      <c r="C198" t="str">
        <f>+CONCATENATE(A$197,B198)</f>
        <v>Hobart2+0</v>
      </c>
      <c r="D198" s="46">
        <f>IF(+DropINTable!AB147=0,DropINTable!AC147,DropINTable!AB147)</f>
        <v>613.89756817400064</v>
      </c>
      <c r="E198" s="46">
        <f>IF(+DropINTable!AC147=0,DropINTable!AD147,DropINTable!AC147)</f>
        <v>613.89756817400064</v>
      </c>
      <c r="F198" s="46">
        <f>IF(+DropINTable!AD147=0,DropINTable!AE147,DropINTable!AD147)</f>
        <v>628.63101625487241</v>
      </c>
      <c r="G198" s="46">
        <f>IF(+DropINTable!AE147=0,DropINTable!AF147,DropINTable!AE147)</f>
        <v>653.4866066671492</v>
      </c>
      <c r="H198" s="46">
        <f>IF(+DropINTable!AF147=0,DropINTable!AG147,DropINTable!AF147)</f>
        <v>694.1754453740291</v>
      </c>
      <c r="I198" s="46">
        <f>IF(+DropINTable!AG147=0,DropINTable!AH147,DropINTable!AG147)</f>
        <v>757.11897151474011</v>
      </c>
      <c r="J198" s="46">
        <f>IF(+DropINTable!AH147=0,DropINTable!AI147,DropINTable!AH147)</f>
        <v>844.39174039268642</v>
      </c>
      <c r="K198" s="46">
        <f>IF(+DropINTable!AI147=0,DropINTable!AJ147,DropINTable!AI147)</f>
        <v>918.37522683329928</v>
      </c>
      <c r="L198" s="46">
        <f>IF(+DropINTable!AJ147=0,DropINTable!AK147,DropINTable!AJ147)</f>
        <v>1000.7014613123863</v>
      </c>
      <c r="M198" s="46">
        <f>IF(+DropINTable!AK147=0,DropINTable!AL147,DropINTable!AK147)</f>
        <v>1049.0865024392829</v>
      </c>
      <c r="N198" s="46">
        <f>IF(+DropINTable!AL147=0,DropINTable!AM147,DropINTable!AL147)</f>
        <v>1115.1077294429626</v>
      </c>
      <c r="O198" s="46">
        <f>IF(+DropINTable!AM147=0,DropINTable!AN147,DropINTable!AM147)</f>
        <v>1231.6281096859157</v>
      </c>
      <c r="P198" s="46">
        <f>IF(+DropINTable!AN147=0,DropINTable!AO147,DropINTable!AN147)</f>
        <v>1403.9423346399872</v>
      </c>
      <c r="Q198" s="46">
        <f>IF(+DropINTable!AO147=0,DropINTable!AP147,DropINTable!AO147)</f>
        <v>1418.7701531458374</v>
      </c>
      <c r="R198" s="46"/>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row>
    <row r="199" spans="1:40">
      <c r="A199" t="s">
        <v>1088</v>
      </c>
      <c r="B199" s="86" t="s">
        <v>1089</v>
      </c>
      <c r="C199" t="str">
        <f t="shared" ref="C199:C209" si="67">+CONCATENATE(A$197,B199)</f>
        <v>Hobart2+1</v>
      </c>
      <c r="D199" s="46">
        <f t="shared" ref="D199:D200" si="68">+E199</f>
        <v>718.1468390337883</v>
      </c>
      <c r="E199" s="46">
        <f>IF(+DropINTable!AC148=0,DropINTable!AD148,DropINTable!AC148)</f>
        <v>718.1468390337883</v>
      </c>
      <c r="F199" s="46">
        <f>IF(+DropINTable!AD148=0,DropINTable!AE148,DropINTable!AD148)</f>
        <v>718.1468390337883</v>
      </c>
      <c r="G199" s="46">
        <f>IF(+DropINTable!AE148=0,DropINTable!AF148,DropINTable!AE148)</f>
        <v>743.10865912644329</v>
      </c>
      <c r="H199" s="46">
        <f>IF(+DropINTable!AF148=0,DropINTable!AG148,DropINTable!AF148)</f>
        <v>783.97139781525641</v>
      </c>
      <c r="I199" s="46">
        <f>IF(+DropINTable!AG148=0,DropINTable!AH148,DropINTable!AG148)</f>
        <v>847.1839393280502</v>
      </c>
      <c r="J199" s="46">
        <f>IF(+DropINTable!AH148=0,DropINTable!AI148,DropINTable!AH148)</f>
        <v>934.82970156477791</v>
      </c>
      <c r="K199" s="46">
        <f>IF(+DropINTable!AI148=0,DropINTable!AJ148,DropINTable!AI148)</f>
        <v>1009.1293850618957</v>
      </c>
      <c r="L199" s="46">
        <f>IF(+DropINTable!AJ148=0,DropINTable!AK148,DropINTable!AJ148)</f>
        <v>1091.8074752408393</v>
      </c>
      <c r="M199" s="46">
        <f>IF(+DropINTable!AK148=0,DropINTable!AL148,DropINTable!AK148)</f>
        <v>1140.3993070667527</v>
      </c>
      <c r="N199" s="46">
        <f>IF(+DropINTable!AL148=0,DropINTable!AM148,DropINTable!AL148)</f>
        <v>1206.7027025145103</v>
      </c>
      <c r="O199" s="46">
        <f>IF(+DropINTable!AM148=0,DropINTable!AN148,DropINTable!AM148)</f>
        <v>1323.721080202602</v>
      </c>
      <c r="P199" s="46">
        <f>IF(+DropINTable!AN148=0,DropINTable!AO148,DropINTable!AN148)</f>
        <v>1496.7717567534944</v>
      </c>
      <c r="Q199" s="46">
        <f>IF(+DropINTable!AO148=0,DropINTable!AP148,DropINTable!AO148)</f>
        <v>1511.6629490307507</v>
      </c>
      <c r="R199" s="46"/>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row>
    <row r="200" spans="1:40">
      <c r="A200" t="s">
        <v>1090</v>
      </c>
      <c r="B200" s="86" t="s">
        <v>1091</v>
      </c>
      <c r="C200" t="str">
        <f t="shared" si="67"/>
        <v>Hobart2+2</v>
      </c>
      <c r="D200" s="46">
        <f t="shared" si="68"/>
        <v>784.14679298434032</v>
      </c>
      <c r="E200" s="46">
        <f>IF(+DropINTable!AC149=0,DropINTable!AD149,DropINTable!AC149)</f>
        <v>784.14679298434032</v>
      </c>
      <c r="F200" s="46">
        <f>IF(+DropINTable!AD149=0,DropINTable!AE149,DropINTable!AD149)</f>
        <v>784.14679298434032</v>
      </c>
      <c r="G200" s="46">
        <f>IF(+DropINTable!AE149=0,DropINTable!AF149,DropINTable!AE149)</f>
        <v>808.94565176685251</v>
      </c>
      <c r="H200" s="46">
        <f>IF(+DropINTable!AF149=0,DropINTable!AG149,DropINTable!AF149)</f>
        <v>849.54162150642867</v>
      </c>
      <c r="I200" s="46">
        <f>IF(+DropINTable!AG149=0,DropINTable!AH149,DropINTable!AG149)</f>
        <v>912.34148393117584</v>
      </c>
      <c r="J200" s="46">
        <f>IF(+DropINTable!AH149=0,DropINTable!AI149,DropINTable!AH149)</f>
        <v>999.41505764546764</v>
      </c>
      <c r="K200" s="46">
        <f>IF(+DropINTable!AI149=0,DropINTable!AJ149,DropINTable!AI149)</f>
        <v>1073.2296805254693</v>
      </c>
      <c r="L200" s="46">
        <f>IF(+DropINTable!AJ149=0,DropINTable!AK149,DropINTable!AJ149)</f>
        <v>1155.3680110068974</v>
      </c>
      <c r="M200" s="46">
        <f>IF(+DropINTable!AK149=0,DropINTable!AL149,DropINTable!AK149)</f>
        <v>1203.6426160728513</v>
      </c>
      <c r="N200" s="46">
        <f>IF(+DropINTable!AL149=0,DropINTable!AM149,DropINTable!AL149)</f>
        <v>1269.5131558514715</v>
      </c>
      <c r="O200" s="46">
        <f>IF(+DropINTable!AM149=0,DropINTable!AN149,DropINTable!AM149)</f>
        <v>1385.7675873905728</v>
      </c>
      <c r="P200" s="46">
        <f>IF(+DropINTable!AN149=0,DropINTable!AO149,DropINTable!AN149)</f>
        <v>1557.6885151743793</v>
      </c>
      <c r="Q200" s="46">
        <f>IF(+DropINTable!AO149=0,DropINTable!AP149,DropINTable!AO149)</f>
        <v>1572.4824884166926</v>
      </c>
      <c r="R200" s="46"/>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row>
    <row r="201" spans="1:40">
      <c r="A201" t="s">
        <v>1092</v>
      </c>
      <c r="B201" s="86" t="s">
        <v>1093</v>
      </c>
      <c r="C201" t="str">
        <f t="shared" si="67"/>
        <v>Hobart2+3</v>
      </c>
      <c r="D201" s="46">
        <f t="shared" ref="D201" si="69">+F201</f>
        <v>876.23023781589745</v>
      </c>
      <c r="E201" s="46">
        <f>+F201</f>
        <v>876.23023781589745</v>
      </c>
      <c r="F201" s="46">
        <f>IF(+DropINTable!AD150=0,DropINTable!AE150,DropINTable!AD150)</f>
        <v>876.23023781589745</v>
      </c>
      <c r="G201" s="46">
        <f>IF(+DropINTable!AE150=0,DropINTable!AF150,DropINTable!AE150)</f>
        <v>876.23023781589745</v>
      </c>
      <c r="H201" s="46">
        <f>IF(+DropINTable!AF150=0,DropINTable!AG150,DropINTable!AF150)</f>
        <v>916.81145742370143</v>
      </c>
      <c r="I201" s="46">
        <f>IF(+DropINTable!AG150=0,DropINTable!AH150,DropINTable!AG150)</f>
        <v>979.58851037380737</v>
      </c>
      <c r="J201" s="46">
        <f>IF(+DropINTable!AH150=0,DropINTable!AI150,DropINTable!AH150)</f>
        <v>1066.6304578559036</v>
      </c>
      <c r="K201" s="46">
        <f>IF(+DropINTable!AI150=0,DropINTable!AJ150,DropINTable!AI150)</f>
        <v>1140.4182697840197</v>
      </c>
      <c r="L201" s="46">
        <f>IF(+DropINTable!AJ150=0,DropINTable!AK150,DropINTable!AJ150)</f>
        <v>1222.5267606217731</v>
      </c>
      <c r="M201" s="46">
        <f>IF(+DropINTable!AK150=0,DropINTable!AL150,DropINTable!AK150)</f>
        <v>1270.7838349517192</v>
      </c>
      <c r="N201" s="46">
        <f>IF(+DropINTable!AL150=0,DropINTable!AM150,DropINTable!AL150)</f>
        <v>1336.6304476529019</v>
      </c>
      <c r="O201" s="46">
        <f>IF(+DropINTable!AM150=0,DropINTable!AN150,DropINTable!AM150)</f>
        <v>1452.8426485227967</v>
      </c>
      <c r="P201" s="46">
        <f>IF(+DropINTable!AN150=0,DropINTable!AO150,DropINTable!AN150)</f>
        <v>1624.7011309466016</v>
      </c>
      <c r="Q201" s="46">
        <f>IF(+DropINTable!AO150=0,DropINTable!AP150,DropINTable!AO150)</f>
        <v>1639.4897338107819</v>
      </c>
      <c r="R201" s="46"/>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row>
    <row r="202" spans="1:40">
      <c r="B202" s="86" t="s">
        <v>1094</v>
      </c>
      <c r="C202" t="str">
        <f t="shared" ref="C202:C204" si="70">+CONCATENATE(A$197,B202)</f>
        <v>Hobart2+4</v>
      </c>
      <c r="D202" s="46">
        <f>+D201+Per_child_accounting!$AD$105</f>
        <v>965.74606059481334</v>
      </c>
      <c r="E202" s="46">
        <f>+E201+Per_child_accounting!$AD$105</f>
        <v>965.74606059481334</v>
      </c>
      <c r="F202" s="46">
        <f>+F201+Per_child_accounting!AD$105</f>
        <v>965.74606059481334</v>
      </c>
      <c r="G202" s="46">
        <f>+G201+Per_child_accounting!AE$105</f>
        <v>965.85229027519154</v>
      </c>
      <c r="H202" s="46">
        <f>+H201+Per_child_accounting!AF$105</f>
        <v>1006.6074098649287</v>
      </c>
      <c r="I202" s="46">
        <f>+I201+Per_child_accounting!AG$105</f>
        <v>1069.6534781871173</v>
      </c>
      <c r="J202" s="46">
        <f>+J201+Per_child_accounting!AH$105</f>
        <v>1157.0684190279951</v>
      </c>
      <c r="K202" s="46">
        <f>+K201+Per_child_accounting!AI$105</f>
        <v>1231.1724280126161</v>
      </c>
      <c r="L202" s="46">
        <f>+L201+Per_child_accounting!AJ$105</f>
        <v>1313.632774550226</v>
      </c>
      <c r="M202" s="46">
        <f>+M201+Per_child_accounting!AK$105</f>
        <v>1362.0966395791891</v>
      </c>
      <c r="N202" s="46">
        <f>+N201+Per_child_accounting!AL$105</f>
        <v>1428.2254207244496</v>
      </c>
      <c r="O202" s="46">
        <f>+O201+Per_child_accounting!AM$105</f>
        <v>1544.9356190394831</v>
      </c>
      <c r="P202" s="46">
        <f>+P201+Per_child_accounting!AN$105</f>
        <v>1717.5305530601088</v>
      </c>
      <c r="Q202" s="46">
        <f>+Q201+Per_child_accounting!AO$105</f>
        <v>1732.3825296956952</v>
      </c>
      <c r="R202" s="46"/>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row>
    <row r="203" spans="1:40">
      <c r="B203" s="86" t="s">
        <v>1095</v>
      </c>
      <c r="C203" t="str">
        <f t="shared" si="70"/>
        <v>Hobart2+5</v>
      </c>
      <c r="D203" s="46">
        <f>+D202+Per_child_accounting!$AD$105</f>
        <v>1055.2618833737292</v>
      </c>
      <c r="E203" s="46">
        <f>+E202+Per_child_accounting!$AD$105</f>
        <v>1055.2618833737292</v>
      </c>
      <c r="F203" s="46">
        <f>+F202+Per_child_accounting!$AD$105</f>
        <v>1055.2618833737292</v>
      </c>
      <c r="G203" s="46">
        <f>+G202+Per_child_accounting!AE$105</f>
        <v>1055.4743427344856</v>
      </c>
      <c r="H203" s="46">
        <f>+H202+Per_child_accounting!AF$105</f>
        <v>1096.4033623061559</v>
      </c>
      <c r="I203" s="46">
        <f>+I202+Per_child_accounting!AG$105</f>
        <v>1159.7184460004273</v>
      </c>
      <c r="J203" s="46">
        <f>+J202+Per_child_accounting!AH$105</f>
        <v>1247.5063802000866</v>
      </c>
      <c r="K203" s="46">
        <f>+K202+Per_child_accounting!AI$105</f>
        <v>1321.9265862412126</v>
      </c>
      <c r="L203" s="46">
        <f>+L202+Per_child_accounting!AJ$105</f>
        <v>1404.738788478679</v>
      </c>
      <c r="M203" s="46">
        <f>+M202+Per_child_accounting!AK$105</f>
        <v>1453.4094442066589</v>
      </c>
      <c r="N203" s="46">
        <f>+N202+Per_child_accounting!AL$105</f>
        <v>1519.8203937959972</v>
      </c>
      <c r="O203" s="46">
        <f>+O202+Per_child_accounting!AM$105</f>
        <v>1637.0285895561694</v>
      </c>
      <c r="P203" s="46">
        <f>+P202+Per_child_accounting!AN$105</f>
        <v>1810.359975173616</v>
      </c>
      <c r="Q203" s="46">
        <f>+Q202+Per_child_accounting!AO$105</f>
        <v>1825.2753255806085</v>
      </c>
      <c r="R203" s="46"/>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row>
    <row r="204" spans="1:40">
      <c r="B204" s="86" t="s">
        <v>1096</v>
      </c>
      <c r="C204" t="str">
        <f t="shared" si="70"/>
        <v>Hobart2+6</v>
      </c>
      <c r="D204" s="46">
        <f>+D203+Per_child_accounting!$AD$105</f>
        <v>1144.7777061526451</v>
      </c>
      <c r="E204" s="46">
        <f>+E203+Per_child_accounting!$AD$105</f>
        <v>1144.7777061526451</v>
      </c>
      <c r="F204" s="46">
        <f>+F203+Per_child_accounting!$AD$105</f>
        <v>1144.7777061526451</v>
      </c>
      <c r="G204" s="46">
        <f>+G203+Per_child_accounting!AE$105</f>
        <v>1145.0963951937797</v>
      </c>
      <c r="H204" s="46">
        <f>+H203+Per_child_accounting!AF$105</f>
        <v>1186.1993147473831</v>
      </c>
      <c r="I204" s="46">
        <f>+I203+Per_child_accounting!AG$105</f>
        <v>1249.7834138137373</v>
      </c>
      <c r="J204" s="46">
        <f>+J203+Per_child_accounting!AH$105</f>
        <v>1337.9443413721781</v>
      </c>
      <c r="K204" s="46">
        <f>+K203+Per_child_accounting!AI$105</f>
        <v>1412.680744469809</v>
      </c>
      <c r="L204" s="46">
        <f>+L203+Per_child_accounting!AJ$105</f>
        <v>1495.844802407132</v>
      </c>
      <c r="M204" s="46">
        <f>+M203+Per_child_accounting!AK$105</f>
        <v>1544.7222488341288</v>
      </c>
      <c r="N204" s="46">
        <f>+N203+Per_child_accounting!AL$105</f>
        <v>1611.4153668675449</v>
      </c>
      <c r="O204" s="46">
        <f>+O203+Per_child_accounting!AM$105</f>
        <v>1729.1215600728558</v>
      </c>
      <c r="P204" s="46">
        <f>+P203+Per_child_accounting!AN$105</f>
        <v>1903.1893972871233</v>
      </c>
      <c r="Q204" s="46">
        <f>+Q203+Per_child_accounting!AO$105</f>
        <v>1918.1681214655218</v>
      </c>
      <c r="R204" s="46"/>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row>
    <row r="205" spans="1:40">
      <c r="B205" s="86"/>
      <c r="D205" s="46"/>
      <c r="E205" s="46"/>
      <c r="F205" s="46"/>
      <c r="G205" s="46"/>
      <c r="H205" s="46"/>
      <c r="I205" s="46"/>
      <c r="J205" s="46"/>
      <c r="K205" s="46"/>
      <c r="L205" s="46"/>
      <c r="M205" s="46"/>
      <c r="N205" s="46"/>
      <c r="O205" s="46"/>
      <c r="P205" s="46"/>
      <c r="Q205" s="46"/>
      <c r="R205" s="46"/>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row>
    <row r="206" spans="1:40">
      <c r="A206" t="s">
        <v>1097</v>
      </c>
      <c r="B206" s="86" t="s">
        <v>1098</v>
      </c>
      <c r="C206" t="str">
        <f t="shared" si="67"/>
        <v>Hobart1+0</v>
      </c>
      <c r="D206" s="46">
        <f>IF(+DropINTable!AB152=0,DropINTable!AC152,DropINTable!AB152)</f>
        <v>326.32444178665497</v>
      </c>
      <c r="E206" s="46">
        <f>IF(+DropINTable!AC152=0,DropINTable!AD152,DropINTable!AC152)</f>
        <v>341.72812394162435</v>
      </c>
      <c r="F206" s="46">
        <f>IF(+DropINTable!AD152=0,DropINTable!AE152,DropINTable!AD152)</f>
        <v>356.48698620104398</v>
      </c>
      <c r="G206" s="46">
        <f>IF(+DropINTable!AE152=0,DropINTable!AF152,DropINTable!AE152)</f>
        <v>381.38545051585368</v>
      </c>
      <c r="H206" s="46">
        <f>IF(+DropINTable!AF152=0,DropINTable!AG152,DropINTable!AF152)</f>
        <v>422.1444742626083</v>
      </c>
      <c r="I206" s="46">
        <f>IF(+DropINTable!AG152=0,DropINTable!AH152,DropINTable!AG152)</f>
        <v>485.19657196433684</v>
      </c>
      <c r="J206" s="46">
        <f>IF(+DropINTable!AH152=0,DropINTable!AI152,DropINTable!AH152)</f>
        <v>572.61987939525386</v>
      </c>
      <c r="K206" s="46">
        <f>IF(+DropINTable!AI152=0,DropINTable!AJ152,DropINTable!AI152)</f>
        <v>646.73098063873067</v>
      </c>
      <c r="L206" s="46">
        <f>IF(+DropINTable!AJ152=0,DropINTable!AK152,DropINTable!AJ152)</f>
        <v>729.19922167386505</v>
      </c>
      <c r="M206" s="46">
        <f>IF(+DropINTable!AK152=0,DropINTable!AL152,DropINTable!AK152)</f>
        <v>777.66772312413912</v>
      </c>
      <c r="N206" s="46">
        <f>IF(+DropINTable!AL152=0,DropINTable!AM152,DropINTable!AL152)</f>
        <v>843.80283171061274</v>
      </c>
      <c r="O206" s="46">
        <f>IF(+DropINTable!AM152=0,DropINTable!AN152,DropINTable!AM152)</f>
        <v>960.52419911070251</v>
      </c>
      <c r="P206" s="46">
        <f>IF(+DropINTable!AN152=0,DropINTable!AO152,DropINTable!AN152)</f>
        <v>1133.1356537333752</v>
      </c>
      <c r="Q206" s="46">
        <f>IF(+DropINTable!AO152=0,DropINTable!AP152,DropINTable!AO152)</f>
        <v>1147.9890487655543</v>
      </c>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row>
    <row r="207" spans="1:40">
      <c r="A207" t="s">
        <v>1099</v>
      </c>
      <c r="B207" s="86" t="s">
        <v>1100</v>
      </c>
      <c r="C207" t="str">
        <f t="shared" si="67"/>
        <v>Hobart1+1</v>
      </c>
      <c r="D207" s="46">
        <f>IF(+DropINTable!AB153=0,DropINTable!AC153,DropINTable!AB153)</f>
        <v>438.85594116014641</v>
      </c>
      <c r="E207" s="46">
        <f>IF(+DropINTable!AC153=0,DropINTable!AD153,DropINTable!AC153)</f>
        <v>438.85594116014641</v>
      </c>
      <c r="F207" s="46">
        <f>IF(+DropINTable!AD153=0,DropINTable!AE153,DropINTable!AD153)</f>
        <v>453.51679111323904</v>
      </c>
      <c r="G207" s="46">
        <f>IF(+DropINTable!AE153=0,DropINTable!AF153,DropINTable!AE153)</f>
        <v>478.24990638130606</v>
      </c>
      <c r="H207" s="46">
        <f>IF(+DropINTable!AF153=0,DropINTable!AG153,DropINTable!AF153)</f>
        <v>518.73825496135316</v>
      </c>
      <c r="I207" s="46">
        <f>IF(+DropINTable!AG153=0,DropINTable!AH153,DropINTable!AG153)</f>
        <v>581.37162912134579</v>
      </c>
      <c r="J207" s="46">
        <f>IF(+DropINTable!AH153=0,DropINTable!AI153,DropINTable!AH153)</f>
        <v>668.2143658156574</v>
      </c>
      <c r="K207" s="46">
        <f>IF(+DropINTable!AI153=0,DropINTable!AJ153,DropINTable!AI153)</f>
        <v>741.83330075327763</v>
      </c>
      <c r="L207" s="46">
        <f>IF(+DropINTable!AJ153=0,DropINTable!AK153,DropINTable!AJ153)</f>
        <v>823.75387613480143</v>
      </c>
      <c r="M207" s="46">
        <f>IF(+DropINTable!AK153=0,DropINTable!AL153,DropINTable!AK153)</f>
        <v>871.90050263963121</v>
      </c>
      <c r="N207" s="46">
        <f>IF(+DropINTable!AL153=0,DropINTable!AM153,DropINTable!AL153)</f>
        <v>937.59641623840116</v>
      </c>
      <c r="O207" s="46">
        <f>IF(+DropINTable!AM153=0,DropINTable!AN153,DropINTable!AM153)</f>
        <v>1053.5426484143554</v>
      </c>
      <c r="P207" s="46">
        <f>IF(+DropINTable!AN153=0,DropINTable!AO153,DropINTable!AN153)</f>
        <v>1225.0078024230061</v>
      </c>
      <c r="Q207" s="46">
        <f>IF(+DropINTable!AO153=0,DropINTable!AP153,DropINTable!AO153)</f>
        <v>1239.7625574291517</v>
      </c>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row>
    <row r="208" spans="1:40">
      <c r="A208" t="s">
        <v>1101</v>
      </c>
      <c r="B208" s="86" t="s">
        <v>1102</v>
      </c>
      <c r="C208" t="str">
        <f t="shared" si="67"/>
        <v>Hobart1+2</v>
      </c>
      <c r="D208" s="46">
        <f>IF(+DropINTable!AB154=0,DropINTable!AC154,DropINTable!AB154)</f>
        <v>549.06090361257918</v>
      </c>
      <c r="E208" s="46">
        <f>IF(+DropINTable!AC154=0,DropINTable!AD154,DropINTable!AC154)</f>
        <v>549.06090361257918</v>
      </c>
      <c r="F208" s="46">
        <f>IF(+DropINTable!AD154=0,DropINTable!AE154,DropINTable!AD154)</f>
        <v>563.70077869864826</v>
      </c>
      <c r="G208" s="46">
        <f>IF(+DropINTable!AE154=0,DropINTable!AF154,DropINTable!AE154)</f>
        <v>588.39851273630609</v>
      </c>
      <c r="H208" s="46">
        <f>IF(+DropINTable!AF154=0,DropINTable!AG154,DropINTable!AF154)</f>
        <v>628.82893475319202</v>
      </c>
      <c r="I208" s="46">
        <f>IF(+DropINTable!AG154=0,DropINTable!AH154,DropINTable!AG154)</f>
        <v>691.37270633366313</v>
      </c>
      <c r="J208" s="46">
        <f>IF(+DropINTable!AH154=0,DropINTable!AI154,DropINTable!AH154)</f>
        <v>778.0912035167413</v>
      </c>
      <c r="K208" s="46">
        <f>IF(+DropINTable!AI154=0,DropINTable!AJ154,DropINTable!AI154)</f>
        <v>851.60481802459208</v>
      </c>
      <c r="L208" s="46">
        <f>IF(+DropINTable!AJ154=0,DropINTable!AK154,DropINTable!AJ154)</f>
        <v>933.40819854441236</v>
      </c>
      <c r="M208" s="46">
        <f>IF(+DropINTable!AK154=0,DropINTable!AL154,DropINTable!AK154)</f>
        <v>981.48594653617613</v>
      </c>
      <c r="N208" s="46">
        <f>IF(+DropINTable!AL154=0,DropINTable!AM154,DropINTable!AL154)</f>
        <v>1047.0878728225744</v>
      </c>
      <c r="O208" s="46">
        <f>IF(+DropINTable!AM154=0,DropINTable!AN154,DropINTable!AM154)</f>
        <v>1162.8682236127217</v>
      </c>
      <c r="P208" s="46">
        <f>IF(+DropINTable!AN154=0,DropINTable!AO154,DropINTable!AN154)</f>
        <v>1334.0880813739273</v>
      </c>
      <c r="Q208" s="46">
        <f>IF(+DropINTable!AO154=0,DropINTable!AP154,DropINTable!AO154)</f>
        <v>1348.8217266118031</v>
      </c>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row>
    <row r="209" spans="1:40">
      <c r="A209" t="s">
        <v>1103</v>
      </c>
      <c r="B209" s="86" t="s">
        <v>1104</v>
      </c>
      <c r="C209" t="str">
        <f t="shared" si="67"/>
        <v>Hobart1+3</v>
      </c>
      <c r="D209" s="46">
        <f t="shared" ref="D209" si="71">+E209</f>
        <v>673.88476628405749</v>
      </c>
      <c r="E209" s="46">
        <f>IF(+DropINTable!AC155=0,DropINTable!AD155,DropINTable!AC155)</f>
        <v>673.88476628405749</v>
      </c>
      <c r="F209" s="46">
        <f>IF(+DropINTable!AD155=0,DropINTable!AE155,DropINTable!AD155)</f>
        <v>673.88476628405749</v>
      </c>
      <c r="G209" s="46">
        <f>IF(+DropINTable!AE155=0,DropINTable!AF155,DropINTable!AE155)</f>
        <v>698.54711909130606</v>
      </c>
      <c r="H209" s="46">
        <f>IF(+DropINTable!AF155=0,DropINTable!AG155,DropINTable!AF155)</f>
        <v>738.91961454503087</v>
      </c>
      <c r="I209" s="46">
        <f>IF(+DropINTable!AG155=0,DropINTable!AH155,DropINTable!AG155)</f>
        <v>801.37378354598047</v>
      </c>
      <c r="J209" s="46">
        <f>IF(+DropINTable!AH155=0,DropINTable!AI155,DropINTable!AH155)</f>
        <v>887.9680412178252</v>
      </c>
      <c r="K209" s="46">
        <f>IF(+DropINTable!AI155=0,DropINTable!AJ155,DropINTable!AI155)</f>
        <v>961.37633529590653</v>
      </c>
      <c r="L209" s="46">
        <f>IF(+DropINTable!AJ155=0,DropINTable!AK155,DropINTable!AJ155)</f>
        <v>1043.0625209540233</v>
      </c>
      <c r="M209" s="46">
        <f>IF(+DropINTable!AK155=0,DropINTable!AL155,DropINTable!AK155)</f>
        <v>1091.071390432721</v>
      </c>
      <c r="N209" s="46">
        <f>IF(+DropINTable!AL155=0,DropINTable!AM155,DropINTable!AL155)</f>
        <v>1156.5793294067475</v>
      </c>
      <c r="O209" s="46">
        <f>IF(+DropINTable!AM155=0,DropINTable!AN155,DropINTable!AM155)</f>
        <v>1272.1937988110881</v>
      </c>
      <c r="P209" s="46">
        <f>IF(+DropINTable!AN155=0,DropINTable!AO155,DropINTable!AN155)</f>
        <v>1443.1683603248484</v>
      </c>
      <c r="Q209" s="46">
        <f>IF(+DropINTable!AO155=0,DropINTable!AP155,DropINTable!AO155)</f>
        <v>1457.8808957944545</v>
      </c>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row>
    <row r="210" spans="1:40">
      <c r="B210" s="86" t="s">
        <v>1105</v>
      </c>
      <c r="C210" t="str">
        <f t="shared" ref="C210:C212" si="72">+CONCATENATE(A$197,B210)</f>
        <v>Hobart1+4</v>
      </c>
      <c r="D210" s="46">
        <f>+D209+Per_child_accounting!AC$108</f>
        <v>771.01258350257956</v>
      </c>
      <c r="E210" s="46">
        <f>+E209+Per_child_accounting!AC$108</f>
        <v>771.01258350257956</v>
      </c>
      <c r="F210" s="46">
        <f>+F209+Per_child_accounting!AD$108</f>
        <v>770.91457119625261</v>
      </c>
      <c r="G210" s="46">
        <f>+G209+Per_child_accounting!AE$108</f>
        <v>795.41157495675839</v>
      </c>
      <c r="H210" s="46">
        <f>+H209+Per_child_accounting!AF$108</f>
        <v>835.51339524377568</v>
      </c>
      <c r="I210" s="46">
        <f>+I209+Per_child_accounting!AG$108</f>
        <v>897.54884070298942</v>
      </c>
      <c r="J210" s="46">
        <f>+J209+Per_child_accounting!AH$108</f>
        <v>983.56252763822874</v>
      </c>
      <c r="K210" s="46">
        <f>+K209+Per_child_accounting!AI$108</f>
        <v>1056.4786554104535</v>
      </c>
      <c r="L210" s="46">
        <f>+L209+Per_child_accounting!AJ$108</f>
        <v>1137.6171754149595</v>
      </c>
      <c r="M210" s="46">
        <f>+M209+Per_child_accounting!AK$108</f>
        <v>1185.3041699482133</v>
      </c>
      <c r="N210" s="46">
        <f>+N209+Per_child_accounting!AL$108</f>
        <v>1250.372913934536</v>
      </c>
      <c r="O210" s="46">
        <f>+O209+Per_child_accounting!AM$108</f>
        <v>1365.212248114741</v>
      </c>
      <c r="P210" s="46">
        <f>+P209+Per_child_accounting!AN$108</f>
        <v>1535.0405090144793</v>
      </c>
      <c r="Q210" s="46">
        <f>+Q209+Per_child_accounting!AO$108</f>
        <v>1549.6544044580519</v>
      </c>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row>
    <row r="211" spans="1:40">
      <c r="B211" s="86" t="s">
        <v>1106</v>
      </c>
      <c r="C211" t="str">
        <f t="shared" si="72"/>
        <v>Hobart1+5</v>
      </c>
      <c r="D211" s="46">
        <f>+D210+Per_child_accounting!AC$108</f>
        <v>868.14040072110163</v>
      </c>
      <c r="E211" s="46">
        <f>+E210+Per_child_accounting!AC$108</f>
        <v>868.14040072110163</v>
      </c>
      <c r="F211" s="46">
        <f>+F210+Per_child_accounting!AD$108</f>
        <v>867.94437610844761</v>
      </c>
      <c r="G211" s="46">
        <f>+G210+Per_child_accounting!AE$108</f>
        <v>892.27603082221071</v>
      </c>
      <c r="H211" s="46">
        <f>+H210+Per_child_accounting!AF$108</f>
        <v>932.1071759425206</v>
      </c>
      <c r="I211" s="46">
        <f>+I210+Per_child_accounting!AG$108</f>
        <v>993.72389785999837</v>
      </c>
      <c r="J211" s="46">
        <f>+J210+Per_child_accounting!AH$108</f>
        <v>1079.1570140586323</v>
      </c>
      <c r="K211" s="46">
        <f>+K210+Per_child_accounting!AI$108</f>
        <v>1151.5809755250004</v>
      </c>
      <c r="L211" s="46">
        <f>+L210+Per_child_accounting!AJ$108</f>
        <v>1232.171829875896</v>
      </c>
      <c r="M211" s="46">
        <f>+M210+Per_child_accounting!AK$108</f>
        <v>1279.5369494637052</v>
      </c>
      <c r="N211" s="46">
        <f>+N210+Per_child_accounting!AL$108</f>
        <v>1344.1664984623244</v>
      </c>
      <c r="O211" s="46">
        <f>+O210+Per_child_accounting!AM$108</f>
        <v>1458.2306974183939</v>
      </c>
      <c r="P211" s="46">
        <f>+P210+Per_child_accounting!AN$108</f>
        <v>1626.9126577041102</v>
      </c>
      <c r="Q211" s="46">
        <f>+Q210+Per_child_accounting!AO$108</f>
        <v>1641.4279131216492</v>
      </c>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row>
    <row r="212" spans="1:40">
      <c r="B212" s="86" t="s">
        <v>1107</v>
      </c>
      <c r="C212" t="str">
        <f t="shared" si="72"/>
        <v>Hobart1+6</v>
      </c>
      <c r="D212" s="46">
        <f>+D211+Per_child_accounting!AC$108</f>
        <v>965.2682179396237</v>
      </c>
      <c r="E212" s="46">
        <f>+E211+Per_child_accounting!AC$108</f>
        <v>965.2682179396237</v>
      </c>
      <c r="F212" s="46">
        <f>+F211+Per_child_accounting!AD$108</f>
        <v>964.97418102064262</v>
      </c>
      <c r="G212" s="46">
        <f>+G211+Per_child_accounting!AE$108</f>
        <v>989.14048668766304</v>
      </c>
      <c r="H212" s="46">
        <f>+H211+Per_child_accounting!AF$108</f>
        <v>1028.7009566412655</v>
      </c>
      <c r="I212" s="46">
        <f>+I211+Per_child_accounting!AG$108</f>
        <v>1089.8989550170072</v>
      </c>
      <c r="J212" s="46">
        <f>+J211+Per_child_accounting!AH$108</f>
        <v>1174.7515004790357</v>
      </c>
      <c r="K212" s="46">
        <f>+K211+Per_child_accounting!AI$108</f>
        <v>1246.6832956395474</v>
      </c>
      <c r="L212" s="46">
        <f>+L211+Per_child_accounting!AJ$108</f>
        <v>1326.7264843368325</v>
      </c>
      <c r="M212" s="46">
        <f>+M211+Per_child_accounting!AK$108</f>
        <v>1373.7697289791972</v>
      </c>
      <c r="N212" s="46">
        <f>+N211+Per_child_accounting!AL$108</f>
        <v>1437.9600829901128</v>
      </c>
      <c r="O212" s="46">
        <f>+O211+Per_child_accounting!AM$108</f>
        <v>1551.2491467220468</v>
      </c>
      <c r="P212" s="46">
        <f>+P211+Per_child_accounting!AN$108</f>
        <v>1718.7848063937411</v>
      </c>
      <c r="Q212" s="46">
        <f>+Q211+Per_child_accounting!AO$108</f>
        <v>1733.2014217852466</v>
      </c>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row>
    <row r="213" spans="1:40">
      <c r="D213" s="46"/>
      <c r="E213" s="46"/>
      <c r="F213" s="46"/>
      <c r="G213" s="46"/>
      <c r="H213" s="46"/>
      <c r="I213" s="46"/>
      <c r="J213" s="46"/>
      <c r="K213" s="46"/>
      <c r="L213" s="46"/>
      <c r="M213" s="46"/>
      <c r="N213" s="46"/>
      <c r="O213" s="46"/>
      <c r="P213" s="46"/>
      <c r="Q213" s="46"/>
      <c r="R213" s="46"/>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row>
    <row r="214" spans="1:40" ht="28.5">
      <c r="A214" s="369" t="s">
        <v>241</v>
      </c>
      <c r="B214" s="369"/>
      <c r="C214" s="369"/>
      <c r="D214" s="46"/>
      <c r="E214" s="46"/>
      <c r="F214" s="46"/>
      <c r="G214" s="46"/>
      <c r="H214" s="46"/>
      <c r="I214" s="46"/>
      <c r="J214" s="46"/>
      <c r="K214" s="46"/>
      <c r="L214" s="46"/>
      <c r="M214" s="46"/>
      <c r="N214" s="46"/>
      <c r="O214" s="46"/>
      <c r="P214" s="46"/>
      <c r="Q214" s="46"/>
      <c r="R214" s="46"/>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row>
    <row r="215" spans="1:40">
      <c r="A215" t="s">
        <v>1086</v>
      </c>
      <c r="B215" s="86" t="s">
        <v>1087</v>
      </c>
      <c r="C215" t="str">
        <f>+CONCATENATE(A$214,B215)</f>
        <v>Balance of TAS2+0</v>
      </c>
      <c r="D215" s="46">
        <f>IF(+DropINTable!AB159=0,DropINTable!AC159,DropINTable!AB159)</f>
        <v>605.57432911990361</v>
      </c>
      <c r="E215" s="46">
        <f>IF(+DropINTable!AC159=0,DropINTable!AD159,DropINTable!AC159)</f>
        <v>605.57432911990361</v>
      </c>
      <c r="F215" s="46">
        <f>IF(+DropINTable!AD159=0,DropINTable!AE159,DropINTable!AD159)</f>
        <v>620.30777695598181</v>
      </c>
      <c r="G215" s="46">
        <f>IF(+DropINTable!AE159=0,DropINTable!AF159,DropINTable!AE159)</f>
        <v>645.16336729079217</v>
      </c>
      <c r="H215" s="46">
        <f>IF(+DropINTable!AF159=0,DropINTable!AG159,DropINTable!AF159)</f>
        <v>685.85220627655087</v>
      </c>
      <c r="I215" s="46">
        <f>IF(+DropINTable!AG159=0,DropINTable!AH159,DropINTable!AG159)</f>
        <v>748.79573182541924</v>
      </c>
      <c r="J215" s="46">
        <f>IF(+DropINTable!AH159=0,DropINTable!AI159,DropINTable!AH159)</f>
        <v>836.06850023856782</v>
      </c>
      <c r="K215" s="46">
        <f>IF(+DropINTable!AI159=0,DropINTable!AJ159,DropINTable!AI159)</f>
        <v>910.05198557296137</v>
      </c>
      <c r="L215" s="46">
        <f>IF(+DropINTable!AJ159=0,DropINTable!AK159,DropINTable!AJ159)</f>
        <v>992.37822100643359</v>
      </c>
      <c r="M215" s="46">
        <f>IF(+DropINTable!AK159=0,DropINTable!AL159,DropINTable!AK159)</f>
        <v>1040.7632628274282</v>
      </c>
      <c r="N215" s="46">
        <f>IF(+DropINTable!AL159=0,DropINTable!AM159,DropINTable!AL159)</f>
        <v>1106.7844900851976</v>
      </c>
      <c r="O215" s="46">
        <f>IF(+DropINTable!AM159=0,DropINTable!AN159,DropINTable!AM159)</f>
        <v>1223.3048697765905</v>
      </c>
      <c r="P215" s="46">
        <f>IF(+DropINTable!AN159=0,DropINTable!AO159,DropINTable!AN159)</f>
        <v>1395.6190966146428</v>
      </c>
      <c r="Q215" s="46">
        <f>IF(+DropINTable!AO159=0,DropINTable!AP159,DropINTable!AO159)</f>
        <v>1410.4469142652651</v>
      </c>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row>
    <row r="216" spans="1:40">
      <c r="A216" t="s">
        <v>1088</v>
      </c>
      <c r="B216" s="86" t="s">
        <v>1089</v>
      </c>
      <c r="C216" t="str">
        <f t="shared" ref="C216:C226" si="73">+CONCATENATE(A$214,B216)</f>
        <v>Balance of TAS2+1</v>
      </c>
      <c r="D216" s="46">
        <f t="shared" ref="D216:D217" si="74">+E216</f>
        <v>709.78802734497719</v>
      </c>
      <c r="E216" s="46">
        <f>IF(+DropINTable!AC160=0,DropINTable!AD160,DropINTable!AC160)</f>
        <v>709.78802734497719</v>
      </c>
      <c r="F216" s="46">
        <f>IF(+DropINTable!AD160=0,DropINTable!AE160,DropINTable!AD160)</f>
        <v>709.78802734497719</v>
      </c>
      <c r="G216" s="46">
        <f>IF(+DropINTable!AE160=0,DropINTable!AF160,DropINTable!AE160)</f>
        <v>734.74984810989167</v>
      </c>
      <c r="H216" s="46">
        <f>IF(+DropINTable!AF160=0,DropINTable!AG160,DropINTable!AF160)</f>
        <v>775.61258528985547</v>
      </c>
      <c r="I216" s="46">
        <f>IF(+DropINTable!AG160=0,DropINTable!AH160,DropINTable!AG160)</f>
        <v>838.82512493526167</v>
      </c>
      <c r="J216" s="46">
        <f>IF(+DropINTable!AH160=0,DropINTable!AI160,DropINTable!AH160)</f>
        <v>926.47088886010795</v>
      </c>
      <c r="K216" s="46">
        <f>IF(+DropINTable!AI160=0,DropINTable!AJ160,DropINTable!AI160)</f>
        <v>1000.7705731041808</v>
      </c>
      <c r="L216" s="46">
        <f>IF(+DropINTable!AJ160=0,DropINTable!AK160,DropINTable!AJ160)</f>
        <v>1083.4486605343293</v>
      </c>
      <c r="M216" s="46">
        <f>IF(+DropINTable!AK160=0,DropINTable!AL160,DropINTable!AK160)</f>
        <v>1132.0404957364804</v>
      </c>
      <c r="N216" s="46">
        <f>IF(+DropINTable!AL160=0,DropINTable!AM160,DropINTable!AL160)</f>
        <v>1198.3438934848593</v>
      </c>
      <c r="O216" s="46">
        <f>IF(+DropINTable!AM160=0,DropINTable!AN160,DropINTable!AM160)</f>
        <v>1315.3622674680539</v>
      </c>
      <c r="P216" s="46">
        <f>IF(+DropINTable!AN160=0,DropINTable!AO160,DropINTable!AN160)</f>
        <v>1488.4129458713949</v>
      </c>
      <c r="Q216" s="46">
        <f>IF(+DropINTable!AO160=0,DropINTable!AP160,DropINTable!AO160)</f>
        <v>1503.3041351010747</v>
      </c>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row>
    <row r="217" spans="1:40">
      <c r="A217" t="s">
        <v>1090</v>
      </c>
      <c r="B217" s="86" t="s">
        <v>1091</v>
      </c>
      <c r="C217" t="str">
        <f t="shared" si="73"/>
        <v>Balance of TAS2+2</v>
      </c>
      <c r="D217" s="46">
        <f t="shared" si="74"/>
        <v>775.84255130145755</v>
      </c>
      <c r="E217" s="46">
        <f>IF(+DropINTable!AC161=0,DropINTable!AD161,DropINTable!AC161)</f>
        <v>775.84255130145755</v>
      </c>
      <c r="F217" s="46">
        <f>IF(+DropINTable!AD161=0,DropINTable!AE161,DropINTable!AD161)</f>
        <v>775.84255130145755</v>
      </c>
      <c r="G217" s="46">
        <f>IF(+DropINTable!AE161=0,DropINTable!AF161,DropINTable!AE161)</f>
        <v>800.64141034219222</v>
      </c>
      <c r="H217" s="46">
        <f>IF(+DropINTable!AF161=0,DropINTable!AG161,DropINTable!AF161)</f>
        <v>841.23737918874849</v>
      </c>
      <c r="I217" s="46">
        <f>IF(+DropINTable!AG161=0,DropINTable!AH161,DropINTable!AG161)</f>
        <v>904.0372402040307</v>
      </c>
      <c r="J217" s="46">
        <f>IF(+DropINTable!AH161=0,DropINTable!AI161,DropINTable!AH161)</f>
        <v>991.11081468223097</v>
      </c>
      <c r="K217" s="46">
        <f>IF(+DropINTable!AI161=0,DropINTable!AJ161,DropINTable!AI161)</f>
        <v>1064.9254378096959</v>
      </c>
      <c r="L217" s="46">
        <f>IF(+DropINTable!AJ161=0,DropINTable!AK161,DropINTable!AJ161)</f>
        <v>1147.0637698404596</v>
      </c>
      <c r="M217" s="46">
        <f>IF(+DropINTable!AK161=0,DropINTable!AL161,DropINTable!AK161)</f>
        <v>1195.3383754013405</v>
      </c>
      <c r="N217" s="46">
        <f>IF(+DropINTable!AL161=0,DropINTable!AM161,DropINTable!AL161)</f>
        <v>1261.2089153736276</v>
      </c>
      <c r="O217" s="46">
        <f>IF(+DropINTable!AM161=0,DropINTable!AN161,DropINTable!AM161)</f>
        <v>1377.4633422862403</v>
      </c>
      <c r="P217" s="46">
        <f>IF(+DropINTable!AN161=0,DropINTable!AO161,DropINTable!AN161)</f>
        <v>1549.3842729104958</v>
      </c>
      <c r="Q217" s="46">
        <f>IF(+DropINTable!AO161=0,DropINTable!AP161,DropINTable!AO161)</f>
        <v>1564.1782468844397</v>
      </c>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row>
    <row r="218" spans="1:40">
      <c r="A218" t="s">
        <v>1092</v>
      </c>
      <c r="B218" s="86" t="s">
        <v>1093</v>
      </c>
      <c r="C218" t="str">
        <f t="shared" si="73"/>
        <v>Balance of TAS2+3</v>
      </c>
      <c r="D218" s="46">
        <f t="shared" ref="D218" si="75">+F218</f>
        <v>867.92901087099392</v>
      </c>
      <c r="E218" s="46">
        <f>+F218</f>
        <v>867.92901087099392</v>
      </c>
      <c r="F218" s="46">
        <f>IF(+DropINTable!AD162=0,DropINTable!AE162,DropINTable!AD162)</f>
        <v>867.92901087099392</v>
      </c>
      <c r="G218" s="46">
        <f>IF(+DropINTable!AE162=0,DropINTable!AF162,DropINTable!AE162)</f>
        <v>867.92901087099392</v>
      </c>
      <c r="H218" s="46">
        <f>IF(+DropINTable!AF162=0,DropINTable!AG162,DropINTable!AF162)</f>
        <v>908.51023468140647</v>
      </c>
      <c r="I218" s="46">
        <f>IF(+DropINTable!AG162=0,DropINTable!AH162,DropINTable!AG162)</f>
        <v>971.28728351707059</v>
      </c>
      <c r="J218" s="46">
        <f>IF(+DropINTable!AH162=0,DropINTable!AI162,DropINTable!AH162)</f>
        <v>1058.3292300881117</v>
      </c>
      <c r="K218" s="46">
        <f>IF(+DropINTable!AI162=0,DropINTable!AJ162,DropINTable!AI162)</f>
        <v>1132.1170422513389</v>
      </c>
      <c r="L218" s="46">
        <f>IF(+DropINTable!AJ162=0,DropINTable!AK162,DropINTable!AJ162)</f>
        <v>1214.2255372623119</v>
      </c>
      <c r="M218" s="46">
        <f>IF(+DropINTable!AK162=0,DropINTable!AL162,DropINTable!AK162)</f>
        <v>1262.4826085358152</v>
      </c>
      <c r="N218" s="46">
        <f>IF(+DropINTable!AL162=0,DropINTable!AM162,DropINTable!AL162)</f>
        <v>1328.3292194148878</v>
      </c>
      <c r="O218" s="46">
        <f>IF(+DropINTable!AM162=0,DropINTable!AN162,DropINTable!AM162)</f>
        <v>1444.5414218130038</v>
      </c>
      <c r="P218" s="46">
        <f>IF(+DropINTable!AN162=0,DropINTable!AO162,DropINTable!AN162)</f>
        <v>1616.3999041192535</v>
      </c>
      <c r="Q218" s="46">
        <f>IF(+DropINTable!AO162=0,DropINTable!AP162,DropINTable!AO162)</f>
        <v>1631.188504514769</v>
      </c>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row>
    <row r="219" spans="1:40">
      <c r="B219" s="86" t="s">
        <v>1094</v>
      </c>
      <c r="C219" t="str">
        <f t="shared" ref="C219:C221" si="76">+CONCATENATE(A$214,B219)</f>
        <v>Balance of TAS2+4</v>
      </c>
      <c r="D219" s="46">
        <f>+D218+Per_child_accounting!$AD$113</f>
        <v>957.40926125998931</v>
      </c>
      <c r="E219" s="46">
        <f>+E218+Per_child_accounting!$AD$113</f>
        <v>957.40926125998931</v>
      </c>
      <c r="F219" s="46">
        <f>+F218+Per_child_accounting!AD$113</f>
        <v>957.40926125998931</v>
      </c>
      <c r="G219" s="46">
        <f>+G218+Per_child_accounting!AE$113</f>
        <v>957.51549169009343</v>
      </c>
      <c r="H219" s="46">
        <f>+H218+Per_child_accounting!AF$113</f>
        <v>998.27061369471107</v>
      </c>
      <c r="I219" s="46">
        <f>+I218+Per_child_accounting!AG$113</f>
        <v>1061.316676626913</v>
      </c>
      <c r="J219" s="46">
        <f>+J218+Per_child_accounting!AH$113</f>
        <v>1148.7316187096517</v>
      </c>
      <c r="K219" s="46">
        <f>+K218+Per_child_accounting!AI$113</f>
        <v>1222.8356297825585</v>
      </c>
      <c r="L219" s="46">
        <f>+L218+Per_child_accounting!AJ$113</f>
        <v>1305.2959767902075</v>
      </c>
      <c r="M219" s="46">
        <f>+M218+Per_child_accounting!AK$113</f>
        <v>1353.7598414448673</v>
      </c>
      <c r="N219" s="46">
        <f>+N218+Per_child_accounting!AL$113</f>
        <v>1419.8886228145495</v>
      </c>
      <c r="O219" s="46">
        <f>+O218+Per_child_accounting!AM$113</f>
        <v>1536.5988195044672</v>
      </c>
      <c r="P219" s="46">
        <f>+P218+Per_child_accounting!AN$113</f>
        <v>1709.1937533760056</v>
      </c>
      <c r="Q219" s="46">
        <f>+Q218+Per_child_accounting!AO$113</f>
        <v>1724.0457253505786</v>
      </c>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row>
    <row r="220" spans="1:40">
      <c r="B220" s="86" t="s">
        <v>1095</v>
      </c>
      <c r="C220" t="str">
        <f t="shared" si="76"/>
        <v>Balance of TAS2+5</v>
      </c>
      <c r="D220" s="46">
        <f>+D219+Per_child_accounting!$AD$113</f>
        <v>1046.8895116489848</v>
      </c>
      <c r="E220" s="46">
        <f>+E219+Per_child_accounting!$AD$113</f>
        <v>1046.8895116489848</v>
      </c>
      <c r="F220" s="46">
        <f>+F219+Per_child_accounting!$AD$113</f>
        <v>1046.8895116489848</v>
      </c>
      <c r="G220" s="46">
        <f>+G219+Per_child_accounting!AE$113</f>
        <v>1047.1019725091928</v>
      </c>
      <c r="H220" s="46">
        <f>+H219+Per_child_accounting!AF$113</f>
        <v>1088.0309927080157</v>
      </c>
      <c r="I220" s="46">
        <f>+I219+Per_child_accounting!AG$113</f>
        <v>1151.3460697367555</v>
      </c>
      <c r="J220" s="46">
        <f>+J219+Per_child_accounting!AH$113</f>
        <v>1239.1340073311917</v>
      </c>
      <c r="K220" s="46">
        <f>+K219+Per_child_accounting!AI$113</f>
        <v>1313.5542173137778</v>
      </c>
      <c r="L220" s="46">
        <f>+L219+Per_child_accounting!AJ$113</f>
        <v>1396.3664163181033</v>
      </c>
      <c r="M220" s="46">
        <f>+M219+Per_child_accounting!AK$113</f>
        <v>1445.0370743539195</v>
      </c>
      <c r="N220" s="46">
        <f>+N219+Per_child_accounting!AL$113</f>
        <v>1511.4480262142113</v>
      </c>
      <c r="O220" s="46">
        <f>+O219+Per_child_accounting!AM$113</f>
        <v>1628.6562171959306</v>
      </c>
      <c r="P220" s="46">
        <f>+P219+Per_child_accounting!AN$113</f>
        <v>1801.9876026327577</v>
      </c>
      <c r="Q220" s="46">
        <f>+Q219+Per_child_accounting!AO$113</f>
        <v>1816.9029461863881</v>
      </c>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row>
    <row r="221" spans="1:40">
      <c r="B221" s="86" t="s">
        <v>1096</v>
      </c>
      <c r="C221" t="str">
        <f t="shared" si="76"/>
        <v>Balance of TAS2+6</v>
      </c>
      <c r="D221" s="46">
        <f>+D220+Per_child_accounting!$AD$113</f>
        <v>1136.3697620379803</v>
      </c>
      <c r="E221" s="46">
        <f>+E220+Per_child_accounting!$AD$113</f>
        <v>1136.3697620379803</v>
      </c>
      <c r="F221" s="46">
        <f>+F220+Per_child_accounting!$AD$113</f>
        <v>1136.3697620379803</v>
      </c>
      <c r="G221" s="46">
        <f>+G220+Per_child_accounting!AE$113</f>
        <v>1136.6884533282923</v>
      </c>
      <c r="H221" s="46">
        <f>+H220+Per_child_accounting!AF$113</f>
        <v>1177.7913717213203</v>
      </c>
      <c r="I221" s="46">
        <f>+I220+Per_child_accounting!AG$113</f>
        <v>1241.3754628465979</v>
      </c>
      <c r="J221" s="46">
        <f>+J220+Per_child_accounting!AH$113</f>
        <v>1329.5363959527317</v>
      </c>
      <c r="K221" s="46">
        <f>+K220+Per_child_accounting!AI$113</f>
        <v>1404.2728048449972</v>
      </c>
      <c r="L221" s="46">
        <f>+L220+Per_child_accounting!AJ$113</f>
        <v>1487.4368558459992</v>
      </c>
      <c r="M221" s="46">
        <f>+M220+Per_child_accounting!AK$113</f>
        <v>1536.3143072629716</v>
      </c>
      <c r="N221" s="46">
        <f>+N220+Per_child_accounting!AL$113</f>
        <v>1603.007429613873</v>
      </c>
      <c r="O221" s="46">
        <f>+O220+Per_child_accounting!AM$113</f>
        <v>1720.713614887394</v>
      </c>
      <c r="P221" s="46">
        <f>+P220+Per_child_accounting!AN$113</f>
        <v>1894.7814518895098</v>
      </c>
      <c r="Q221" s="46">
        <f>+Q220+Per_child_accounting!AO$113</f>
        <v>1909.7601670221977</v>
      </c>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row>
    <row r="222" spans="1:40">
      <c r="B222" s="86"/>
      <c r="D222" s="46"/>
      <c r="E222" s="46"/>
      <c r="F222" s="46"/>
      <c r="G222" s="46"/>
      <c r="H222" s="46"/>
      <c r="I222" s="46"/>
      <c r="J222" s="46"/>
      <c r="K222" s="46"/>
      <c r="L222" s="46"/>
      <c r="M222" s="46"/>
      <c r="N222" s="46"/>
      <c r="O222" s="46"/>
      <c r="P222" s="46"/>
      <c r="Q222" s="46"/>
      <c r="R222" s="46"/>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row>
    <row r="223" spans="1:40">
      <c r="A223" t="s">
        <v>1097</v>
      </c>
      <c r="B223" s="86" t="s">
        <v>1098</v>
      </c>
      <c r="C223" t="str">
        <f t="shared" si="73"/>
        <v>Balance of TAS1+0</v>
      </c>
      <c r="D223" s="46">
        <f>IF(+DropINTable!AB164=0,DropINTable!AC164,DropINTable!AB164)</f>
        <v>317.98684558452436</v>
      </c>
      <c r="E223" s="46">
        <f>IF(+DropINTable!AC164=0,DropINTable!AD164,DropINTable!AC164)</f>
        <v>333.39052752325279</v>
      </c>
      <c r="F223" s="46">
        <f>IF(+DropINTable!AD164=0,DropINTable!AE164,DropINTable!AD164)</f>
        <v>348.14938943660138</v>
      </c>
      <c r="G223" s="46">
        <f>IF(+DropINTable!AE164=0,DropINTable!AF164,DropINTable!AE164)</f>
        <v>373.04785410433499</v>
      </c>
      <c r="H223" s="46">
        <f>IF(+DropINTable!AF164=0,DropINTable!AG164,DropINTable!AF164)</f>
        <v>413.80687777913425</v>
      </c>
      <c r="I223" s="46">
        <f>IF(+DropINTable!AG164=0,DropINTable!AH164,DropINTable!AG164)</f>
        <v>476.85897520674712</v>
      </c>
      <c r="J223" s="46">
        <f>IF(+DropINTable!AH164=0,DropINTable!AI164,DropINTable!AH164)</f>
        <v>564.28228248004757</v>
      </c>
      <c r="K223" s="46">
        <f>IF(+DropINTable!AI164=0,DropINTable!AJ164,DropINTable!AI164)</f>
        <v>638.39338439510789</v>
      </c>
      <c r="L223" s="46">
        <f>IF(+DropINTable!AJ164=0,DropINTable!AK164,DropINTable!AJ164)</f>
        <v>720.86162464901258</v>
      </c>
      <c r="M223" s="46">
        <f>IF(+DropINTable!AK164=0,DropINTable!AL164,DropINTable!AK164)</f>
        <v>769.33012613355106</v>
      </c>
      <c r="N223" s="46">
        <f>IF(+DropINTable!AL164=0,DropINTable!AM164,DropINTable!AL164)</f>
        <v>835.46523602892705</v>
      </c>
      <c r="O223" s="46">
        <f>IF(+DropINTable!AM164=0,DropINTable!AN164,DropINTable!AM164)</f>
        <v>952.18660391557205</v>
      </c>
      <c r="P223" s="46">
        <f>IF(+DropINTable!AN164=0,DropINTable!AO164,DropINTable!AN164)</f>
        <v>1124.7980577433095</v>
      </c>
      <c r="Q223" s="46">
        <f>IF(+DropINTable!AO164=0,DropINTable!AP164,DropINTable!AO164)</f>
        <v>1139.6514531866621</v>
      </c>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row>
    <row r="224" spans="1:40">
      <c r="A224" t="s">
        <v>1099</v>
      </c>
      <c r="B224" s="86" t="s">
        <v>1100</v>
      </c>
      <c r="C224" t="str">
        <f t="shared" si="73"/>
        <v>Balance of TAS1+1</v>
      </c>
      <c r="D224" s="46">
        <f>IF(+DropINTable!AB165=0,DropINTable!AC165,DropINTable!AB165)</f>
        <v>430.57371490699188</v>
      </c>
      <c r="E224" s="46">
        <f>IF(+DropINTable!AC165=0,DropINTable!AD165,DropINTable!AC165)</f>
        <v>430.57371490699188</v>
      </c>
      <c r="F224" s="46">
        <f>IF(+DropINTable!AD165=0,DropINTable!AE165,DropINTable!AD165)</f>
        <v>445.23456444617398</v>
      </c>
      <c r="G224" s="46">
        <f>IF(+DropINTable!AE165=0,DropINTable!AF165,DropINTable!AE165)</f>
        <v>469.96768114778479</v>
      </c>
      <c r="H224" s="46">
        <f>IF(+DropINTable!AF165=0,DropINTable!AG165,DropINTable!AF165)</f>
        <v>510.45602518491143</v>
      </c>
      <c r="I224" s="46">
        <f>IF(+DropINTable!AG165=0,DropINTable!AH165,DropINTable!AG165)</f>
        <v>573.08940164665046</v>
      </c>
      <c r="J224" s="46">
        <f>IF(+DropINTable!AH165=0,DropINTable!AI165,DropINTable!AH165)</f>
        <v>659.93213777562084</v>
      </c>
      <c r="K224" s="46">
        <f>IF(+DropINTable!AI165=0,DropINTable!AJ165,DropINTable!AI165)</f>
        <v>733.55107461117223</v>
      </c>
      <c r="L224" s="46">
        <f>IF(+DropINTable!AJ165=0,DropINTable!AK165,DropINTable!AJ165)</f>
        <v>815.47165007345916</v>
      </c>
      <c r="M224" s="46">
        <f>IF(+DropINTable!AK165=0,DropINTable!AL165,DropINTable!AK165)</f>
        <v>863.61827520531733</v>
      </c>
      <c r="N224" s="46">
        <f>IF(+DropINTable!AL165=0,DropINTable!AM165,DropINTable!AL165)</f>
        <v>929.31418872332404</v>
      </c>
      <c r="O224" s="46">
        <f>IF(+DropINTable!AM165=0,DropINTable!AN165,DropINTable!AM165)</f>
        <v>1045.2604196878333</v>
      </c>
      <c r="P224" s="46">
        <f>IF(+DropINTable!AN165=0,DropINTable!AO165,DropINTable!AN165)</f>
        <v>1216.7255791883697</v>
      </c>
      <c r="Q224" s="46">
        <f>IF(+DropINTable!AO165=0,DropINTable!AP165,DropINTable!AO165)</f>
        <v>1231.4803298333118</v>
      </c>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row>
    <row r="225" spans="1:40">
      <c r="A225" t="s">
        <v>1101</v>
      </c>
      <c r="B225" s="86" t="s">
        <v>1102</v>
      </c>
      <c r="C225" t="str">
        <f t="shared" si="73"/>
        <v>Balance of TAS1+2</v>
      </c>
      <c r="D225" s="46">
        <f>IF(+DropINTable!AB166=0,DropINTable!AC166,DropINTable!AB166)</f>
        <v>540.79052622907625</v>
      </c>
      <c r="E225" s="46">
        <f>IF(+DropINTable!AC166=0,DropINTable!AD166,DropINTable!AC166)</f>
        <v>540.79052622907625</v>
      </c>
      <c r="F225" s="46">
        <f>IF(+DropINTable!AD166=0,DropINTable!AE166,DropINTable!AD166)</f>
        <v>555.43040197533935</v>
      </c>
      <c r="G225" s="46">
        <f>IF(+DropINTable!AE166=0,DropINTable!AF166,DropINTable!AE166)</f>
        <v>580.12813339667252</v>
      </c>
      <c r="H225" s="46">
        <f>IF(+DropINTable!AF166=0,DropINTable!AG166,DropINTable!AF166)</f>
        <v>620.55855834775446</v>
      </c>
      <c r="I225" s="46">
        <f>IF(+DropINTable!AG166=0,DropINTable!AH166,DropINTable!AG166)</f>
        <v>683.10232562473823</v>
      </c>
      <c r="J225" s="46">
        <f>IF(+DropINTable!AH166=0,DropINTable!AI166,DropINTable!AH166)</f>
        <v>769.82082393259157</v>
      </c>
      <c r="K225" s="46">
        <f>IF(+DropINTable!AI166=0,DropINTable!AJ166,DropINTable!AI166)</f>
        <v>843.33443971192708</v>
      </c>
      <c r="L225" s="46">
        <f>IF(+DropINTable!AJ166=0,DropINTable!AK166,DropINTable!AJ166)</f>
        <v>925.13781749316445</v>
      </c>
      <c r="M225" s="46">
        <f>IF(+DropINTable!AK166=0,DropINTable!AL166,DropINTable!AK166)</f>
        <v>973.21556568054154</v>
      </c>
      <c r="N225" s="46">
        <f>IF(+DropINTable!AL166=0,DropINTable!AM166,DropINTable!AL166)</f>
        <v>1038.817490402035</v>
      </c>
      <c r="O225" s="46">
        <f>IF(+DropINTable!AM166=0,DropINTable!AN166,DropINTable!AM166)</f>
        <v>1154.5978451044436</v>
      </c>
      <c r="P225" s="46">
        <f>IF(+DropINTable!AN166=0,DropINTable!AO166,DropINTable!AN166)</f>
        <v>1325.8177044305535</v>
      </c>
      <c r="Q225" s="46">
        <f>IF(+DropINTable!AO166=0,DropINTable!AP166,DropINTable!AO166)</f>
        <v>1340.5513529938517</v>
      </c>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row>
    <row r="226" spans="1:40">
      <c r="A226" t="s">
        <v>1103</v>
      </c>
      <c r="B226" s="86" t="s">
        <v>1104</v>
      </c>
      <c r="C226" t="str">
        <f t="shared" si="73"/>
        <v>Balance of TAS1+3</v>
      </c>
      <c r="D226" s="46">
        <f t="shared" ref="D226" si="77">+E226</f>
        <v>665.62623950450472</v>
      </c>
      <c r="E226" s="46">
        <f>IF(+DropINTable!AC167=0,DropINTable!AD167,DropINTable!AC167)</f>
        <v>665.62623950450472</v>
      </c>
      <c r="F226" s="46">
        <f>IF(+DropINTable!AD167=0,DropINTable!AE167,DropINTable!AD167)</f>
        <v>665.62623950450472</v>
      </c>
      <c r="G226" s="46">
        <f>IF(+DropINTable!AE167=0,DropINTable!AF167,DropINTable!AE167)</f>
        <v>690.28858564556026</v>
      </c>
      <c r="H226" s="46">
        <f>IF(+DropINTable!AF167=0,DropINTable!AG167,DropINTable!AF167)</f>
        <v>730.66109151059754</v>
      </c>
      <c r="I226" s="46">
        <f>IF(+DropINTable!AG167=0,DropINTable!AH167,DropINTable!AG167)</f>
        <v>793.115249602826</v>
      </c>
      <c r="J226" s="46">
        <f>IF(+DropINTable!AH167=0,DropINTable!AI167,DropINTable!AH167)</f>
        <v>879.70951008956229</v>
      </c>
      <c r="K226" s="46">
        <f>IF(+DropINTable!AI167=0,DropINTable!AJ167,DropINTable!AI167)</f>
        <v>953.11780481268192</v>
      </c>
      <c r="L226" s="46">
        <f>IF(+DropINTable!AJ167=0,DropINTable!AK167,DropINTable!AJ167)</f>
        <v>1034.8039849128697</v>
      </c>
      <c r="M226" s="46">
        <f>IF(+DropINTable!AK167=0,DropINTable!AL167,DropINTable!AK167)</f>
        <v>1082.8128561557658</v>
      </c>
      <c r="N226" s="46">
        <f>IF(+DropINTable!AL167=0,DropINTable!AM167,DropINTable!AL167)</f>
        <v>1148.3207920807458</v>
      </c>
      <c r="O226" s="46">
        <f>IF(+DropINTable!AM167=0,DropINTable!AN167,DropINTable!AM167)</f>
        <v>1263.935270521054</v>
      </c>
      <c r="P226" s="46">
        <f>IF(+DropINTable!AN167=0,DropINTable!AO167,DropINTable!AN167)</f>
        <v>1434.9098296727373</v>
      </c>
      <c r="Q226" s="46">
        <f>IF(+DropINTable!AO167=0,DropINTable!AP167,DropINTable!AO167)</f>
        <v>1449.6223761543915</v>
      </c>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row>
    <row r="227" spans="1:40">
      <c r="B227" s="86" t="s">
        <v>1105</v>
      </c>
      <c r="C227" t="str">
        <f t="shared" ref="C227:C229" si="78">+CONCATENATE(A$214,B227)</f>
        <v>Balance of TAS1+4</v>
      </c>
      <c r="D227" s="46">
        <f>+D226+Per_child_accounting!AC$116</f>
        <v>762.80942688824382</v>
      </c>
      <c r="E227" s="46">
        <f>+E226+Per_child_accounting!AC$116</f>
        <v>762.80942688824382</v>
      </c>
      <c r="F227" s="46">
        <f>+F226+Per_child_accounting!AD$116</f>
        <v>762.71141451407732</v>
      </c>
      <c r="G227" s="46">
        <f>+G226+Per_child_accounting!AE$116</f>
        <v>787.20841268901006</v>
      </c>
      <c r="H227" s="46">
        <f>+H226+Per_child_accounting!AF$116</f>
        <v>827.31023891637471</v>
      </c>
      <c r="I227" s="46">
        <f>+I226+Per_child_accounting!AG$116</f>
        <v>889.34567604272934</v>
      </c>
      <c r="J227" s="46">
        <f>+J226+Per_child_accounting!AH$116</f>
        <v>975.35936538513556</v>
      </c>
      <c r="K227" s="46">
        <f>+K226+Per_child_accounting!AI$116</f>
        <v>1048.2754950287463</v>
      </c>
      <c r="L227" s="46">
        <f>+L226+Per_child_accounting!AJ$116</f>
        <v>1129.4140103373163</v>
      </c>
      <c r="M227" s="46">
        <f>+M226+Per_child_accounting!AK$116</f>
        <v>1177.1010052275319</v>
      </c>
      <c r="N227" s="46">
        <f>+N226+Per_child_accounting!AL$116</f>
        <v>1242.1697447751428</v>
      </c>
      <c r="O227" s="46">
        <f>+O226+Per_child_accounting!AM$116</f>
        <v>1357.0090862933152</v>
      </c>
      <c r="P227" s="46">
        <f>+P226+Per_child_accounting!AN$116</f>
        <v>1526.8373511177974</v>
      </c>
      <c r="Q227" s="46">
        <f>+Q226+Per_child_accounting!AO$116</f>
        <v>1541.4512528010412</v>
      </c>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row>
    <row r="228" spans="1:40">
      <c r="B228" s="86" t="s">
        <v>1106</v>
      </c>
      <c r="C228" t="str">
        <f t="shared" si="78"/>
        <v>Balance of TAS1+5</v>
      </c>
      <c r="D228" s="46">
        <f>+D227+Per_child_accounting!AC$116</f>
        <v>859.99261427198292</v>
      </c>
      <c r="E228" s="46">
        <f>+E227+Per_child_accounting!AC$116</f>
        <v>859.99261427198292</v>
      </c>
      <c r="F228" s="46">
        <f>+F227+Per_child_accounting!AD$116</f>
        <v>859.79658952364991</v>
      </c>
      <c r="G228" s="46">
        <f>+G227+Per_child_accounting!AE$116</f>
        <v>884.12823973245986</v>
      </c>
      <c r="H228" s="46">
        <f>+H227+Per_child_accounting!AF$116</f>
        <v>923.95938632215189</v>
      </c>
      <c r="I228" s="46">
        <f>+I227+Per_child_accounting!AG$116</f>
        <v>985.57610248263268</v>
      </c>
      <c r="J228" s="46">
        <f>+J227+Per_child_accounting!AH$116</f>
        <v>1071.0092206807089</v>
      </c>
      <c r="K228" s="46">
        <f>+K227+Per_child_accounting!AI$116</f>
        <v>1143.4331852448106</v>
      </c>
      <c r="L228" s="46">
        <f>+L227+Per_child_accounting!AJ$116</f>
        <v>1224.0240357617629</v>
      </c>
      <c r="M228" s="46">
        <f>+M227+Per_child_accounting!AK$116</f>
        <v>1271.3891542992983</v>
      </c>
      <c r="N228" s="46">
        <f>+N227+Per_child_accounting!AL$116</f>
        <v>1336.0186974695398</v>
      </c>
      <c r="O228" s="46">
        <f>+O227+Per_child_accounting!AM$116</f>
        <v>1450.0829020655765</v>
      </c>
      <c r="P228" s="46">
        <f>+P227+Per_child_accounting!AN$116</f>
        <v>1618.7648725628576</v>
      </c>
      <c r="Q228" s="46">
        <f>+Q227+Per_child_accounting!AO$116</f>
        <v>1633.2801294476908</v>
      </c>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row>
    <row r="229" spans="1:40">
      <c r="B229" s="86" t="s">
        <v>1107</v>
      </c>
      <c r="C229" t="str">
        <f t="shared" si="78"/>
        <v>Balance of TAS1+6</v>
      </c>
      <c r="D229" s="46">
        <f>+D228+Per_child_accounting!AC$116</f>
        <v>957.17580165572201</v>
      </c>
      <c r="E229" s="46">
        <f>+E228+Per_child_accounting!AC$116</f>
        <v>957.17580165572201</v>
      </c>
      <c r="F229" s="46">
        <f>+F228+Per_child_accounting!AD$116</f>
        <v>956.88176453322251</v>
      </c>
      <c r="G229" s="46">
        <f>+G228+Per_child_accounting!AE$116</f>
        <v>981.04806677590966</v>
      </c>
      <c r="H229" s="46">
        <f>+H228+Per_child_accounting!AF$116</f>
        <v>1020.6085337279291</v>
      </c>
      <c r="I229" s="46">
        <f>+I228+Per_child_accounting!AG$116</f>
        <v>1081.806528922536</v>
      </c>
      <c r="J229" s="46">
        <f>+J228+Per_child_accounting!AH$116</f>
        <v>1166.6590759762821</v>
      </c>
      <c r="K229" s="46">
        <f>+K228+Per_child_accounting!AI$116</f>
        <v>1238.5908754608749</v>
      </c>
      <c r="L229" s="46">
        <f>+L228+Per_child_accounting!AJ$116</f>
        <v>1318.6340611862095</v>
      </c>
      <c r="M229" s="46">
        <f>+M228+Per_child_accounting!AK$116</f>
        <v>1365.6773033710647</v>
      </c>
      <c r="N229" s="46">
        <f>+N228+Per_child_accounting!AL$116</f>
        <v>1429.8676501639368</v>
      </c>
      <c r="O229" s="46">
        <f>+O228+Per_child_accounting!AM$116</f>
        <v>1543.1567178378377</v>
      </c>
      <c r="P229" s="46">
        <f>+P228+Per_child_accounting!AN$116</f>
        <v>1710.6923940079178</v>
      </c>
      <c r="Q229" s="46">
        <f>+Q228+Per_child_accounting!AO$116</f>
        <v>1725.1090060943404</v>
      </c>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row>
    <row r="230" spans="1:40">
      <c r="D230" s="46"/>
      <c r="E230" s="46"/>
      <c r="F230" s="46"/>
      <c r="G230" s="46"/>
      <c r="H230" s="46"/>
      <c r="I230" s="46"/>
      <c r="J230" s="46"/>
      <c r="K230" s="46"/>
      <c r="L230" s="46"/>
      <c r="M230" s="46"/>
      <c r="N230" s="46"/>
      <c r="O230" s="46"/>
      <c r="P230" s="46"/>
      <c r="Q230" s="46"/>
      <c r="R230" s="46"/>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row>
    <row r="231" spans="1:40" ht="28.5">
      <c r="A231" s="369" t="s">
        <v>236</v>
      </c>
      <c r="B231" s="369"/>
      <c r="C231" s="369"/>
      <c r="D231" s="46"/>
      <c r="E231" s="46"/>
      <c r="F231" s="46"/>
      <c r="G231" s="46"/>
      <c r="H231" s="46"/>
      <c r="I231" s="46"/>
      <c r="J231" s="46"/>
      <c r="K231" s="46"/>
      <c r="L231" s="46"/>
      <c r="M231" s="46"/>
      <c r="N231" s="46"/>
      <c r="O231" s="46"/>
      <c r="P231" s="46"/>
      <c r="Q231" s="46"/>
      <c r="R231" s="46"/>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row>
    <row r="232" spans="1:40">
      <c r="A232" t="s">
        <v>1086</v>
      </c>
      <c r="B232" s="86" t="s">
        <v>1087</v>
      </c>
      <c r="C232" t="str">
        <f>+CONCATENATE(A$231,B232)</f>
        <v>ACT &amp; NT2+0</v>
      </c>
      <c r="D232" s="46">
        <f>IF(+DropINTable!AB171=0,DropINTable!AC171,DropINTable!AB171)</f>
        <v>624.09795981459342</v>
      </c>
      <c r="E232" s="46">
        <f>IF(+DropINTable!AC171=0,DropINTable!AD171,DropINTable!AC171)</f>
        <v>624.09795981459342</v>
      </c>
      <c r="F232" s="46">
        <f>IF(+DropINTable!AD171=0,DropINTable!AE171,DropINTable!AD171)</f>
        <v>638.83140775137781</v>
      </c>
      <c r="G232" s="46">
        <f>IF(+DropINTable!AE171=0,DropINTable!AF171,DropINTable!AE171)</f>
        <v>663.6869982411207</v>
      </c>
      <c r="H232" s="46">
        <f>IF(+DropINTable!AF171=0,DropINTable!AG171,DropINTable!AF171)</f>
        <v>704.37583677757493</v>
      </c>
      <c r="I232" s="46">
        <f>IF(+DropINTable!AG171=0,DropINTable!AH171,DropINTable!AG171)</f>
        <v>767.31936229235794</v>
      </c>
      <c r="J232" s="46">
        <f>IF(+DropINTable!AH171=0,DropINTable!AI171,DropINTable!AH171)</f>
        <v>854.59213110833139</v>
      </c>
      <c r="K232" s="46">
        <f>IF(+DropINTable!AI171=0,DropINTable!AJ171,DropINTable!AI171)</f>
        <v>928.57561771627127</v>
      </c>
      <c r="L232" s="46">
        <f>IF(+DropINTable!AJ171=0,DropINTable!AK171,DropINTable!AJ171)</f>
        <v>1010.9018520156366</v>
      </c>
      <c r="M232" s="46">
        <f>IF(+DropINTable!AK171=0,DropINTable!AL171,DropINTable!AK171)</f>
        <v>1059.2868935205688</v>
      </c>
      <c r="N232" s="46">
        <f>IF(+DropINTable!AL171=0,DropINTable!AM171,DropINTable!AL171)</f>
        <v>1125.308121590185</v>
      </c>
      <c r="O232" s="46">
        <f>IF(+DropINTable!AM171=0,DropINTable!AN171,DropINTable!AM171)</f>
        <v>1241.8285007795962</v>
      </c>
      <c r="P232" s="46">
        <f>IF(+DropINTable!AN171=0,DropINTable!AO171,DropINTable!AN171)</f>
        <v>1414.142726613685</v>
      </c>
      <c r="Q232" s="46">
        <f>IF(+DropINTable!AO171=0,DropINTable!AP171,DropINTable!AO171)</f>
        <v>1428.9705451691138</v>
      </c>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row>
    <row r="233" spans="1:40">
      <c r="A233" t="s">
        <v>1088</v>
      </c>
      <c r="B233" s="86" t="s">
        <v>1089</v>
      </c>
      <c r="C233" t="str">
        <f t="shared" ref="C233:C243" si="79">+CONCATENATE(A$231,B233)</f>
        <v>ACT &amp; NT2+1</v>
      </c>
      <c r="D233" s="46">
        <f t="shared" ref="D233:D234" si="80">+E233</f>
        <v>728.39082754204787</v>
      </c>
      <c r="E233" s="46">
        <f>IF(+DropINTable!AC172=0,DropINTable!AD172,DropINTable!AC172)</f>
        <v>728.39082754204787</v>
      </c>
      <c r="F233" s="46">
        <f>IF(+DropINTable!AD172=0,DropINTable!AE172,DropINTable!AD172)</f>
        <v>728.39082754204787</v>
      </c>
      <c r="G233" s="46">
        <f>IF(+DropINTable!AE172=0,DropINTable!AF172,DropINTable!AE172)</f>
        <v>753.35264750025078</v>
      </c>
      <c r="H233" s="46">
        <f>IF(+DropINTable!AF172=0,DropINTable!AG172,DropINTable!AF172)</f>
        <v>794.21538420216359</v>
      </c>
      <c r="I233" s="46">
        <f>IF(+DropINTable!AG172=0,DropINTable!AH172,DropINTable!AG172)</f>
        <v>857.42792453476818</v>
      </c>
      <c r="J233" s="46">
        <f>IF(+DropINTable!AH172=0,DropINTable!AI172,DropINTable!AH172)</f>
        <v>945.07368848949261</v>
      </c>
      <c r="K233" s="46">
        <f>IF(+DropINTable!AI172=0,DropINTable!AJ172,DropINTable!AI172)</f>
        <v>1019.3733726738092</v>
      </c>
      <c r="L233" s="46">
        <f>IF(+DropINTable!AJ172=0,DropINTable!AK172,DropINTable!AJ172)</f>
        <v>1102.0514606417655</v>
      </c>
      <c r="M233" s="46">
        <f>IF(+DropINTable!AK172=0,DropINTable!AL172,DropINTable!AK172)</f>
        <v>1150.6432938121984</v>
      </c>
      <c r="N233" s="46">
        <f>IF(+DropINTable!AL172=0,DropINTable!AM172,DropINTable!AL172)</f>
        <v>1216.9466910825263</v>
      </c>
      <c r="O233" s="46">
        <f>IF(+DropINTable!AM172=0,DropINTable!AN172,DropINTable!AM172)</f>
        <v>1333.9650662010927</v>
      </c>
      <c r="P233" s="46">
        <f>IF(+DropINTable!AN172=0,DropINTable!AO172,DropINTable!AN172)</f>
        <v>1507.0157453215104</v>
      </c>
      <c r="Q233" s="46">
        <f>IF(+DropINTable!AO172=0,DropINTable!AP172,DropINTable!AO172)</f>
        <v>1521.9069347902157</v>
      </c>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row>
    <row r="234" spans="1:40">
      <c r="A234" t="s">
        <v>1090</v>
      </c>
      <c r="B234" s="86" t="s">
        <v>1091</v>
      </c>
      <c r="C234" t="str">
        <f t="shared" si="79"/>
        <v>ACT &amp; NT2+2</v>
      </c>
      <c r="D234" s="46">
        <f t="shared" si="80"/>
        <v>794.32390300596694</v>
      </c>
      <c r="E234" s="46">
        <f>IF(+DropINTable!AC173=0,DropINTable!AD173,DropINTable!AC173)</f>
        <v>794.32390300596694</v>
      </c>
      <c r="F234" s="46">
        <f>IF(+DropINTable!AD173=0,DropINTable!AE173,DropINTable!AD173)</f>
        <v>794.32390300596694</v>
      </c>
      <c r="G234" s="46">
        <f>IF(+DropINTable!AE173=0,DropINTable!AF173,DropINTable!AE173)</f>
        <v>819.12276256314692</v>
      </c>
      <c r="H234" s="46">
        <f>IF(+DropINTable!AF173=0,DropINTable!AG173,DropINTable!AF173)</f>
        <v>859.71873175400026</v>
      </c>
      <c r="I234" s="46">
        <f>IF(+DropINTable!AG173=0,DropINTable!AH173,DropINTable!AG173)</f>
        <v>922.51859215600336</v>
      </c>
      <c r="J234" s="46">
        <f>IF(+DropINTable!AH173=0,DropINTable!AI173,DropINTable!AH173)</f>
        <v>1009.5921666019259</v>
      </c>
      <c r="K234" s="46">
        <f>IF(+DropINTable!AI173=0,DropINTable!AJ173,DropINTable!AI173)</f>
        <v>1083.4067915477087</v>
      </c>
      <c r="L234" s="46">
        <f>IF(+DropINTable!AJ173=0,DropINTable!AK173,DropINTable!AJ173)</f>
        <v>1165.5451206734681</v>
      </c>
      <c r="M234" s="46">
        <f>IF(+DropINTable!AK173=0,DropINTable!AL173,DropINTable!AK173)</f>
        <v>1213.8197275684988</v>
      </c>
      <c r="N234" s="46">
        <f>IF(+DropINTable!AL173=0,DropINTable!AM173,DropINTable!AL173)</f>
        <v>1279.6902664863769</v>
      </c>
      <c r="O234" s="46">
        <f>IF(+DropINTable!AM173=0,DropINTable!AN173,DropINTable!AM173)</f>
        <v>1395.9446943888429</v>
      </c>
      <c r="P234" s="46">
        <f>IF(+DropINTable!AN173=0,DropINTable!AO173,DropINTable!AN173)</f>
        <v>1567.8656236789484</v>
      </c>
      <c r="Q234" s="46">
        <f>IF(+DropINTable!AO173=0,DropINTable!AP173,DropINTable!AO173)</f>
        <v>1582.6596008806748</v>
      </c>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row>
    <row r="235" spans="1:40">
      <c r="A235" t="s">
        <v>1092</v>
      </c>
      <c r="B235" s="86" t="s">
        <v>1093</v>
      </c>
      <c r="C235" t="str">
        <f t="shared" si="79"/>
        <v>ACT &amp; NT2+3</v>
      </c>
      <c r="D235" s="46">
        <f t="shared" ref="D235" si="81">+F235</f>
        <v>886.4036482576978</v>
      </c>
      <c r="E235" s="46">
        <f>+F235</f>
        <v>886.4036482576978</v>
      </c>
      <c r="F235" s="46">
        <f>IF(+DropINTable!AD174=0,DropINTable!AE174,DropINTable!AD174)</f>
        <v>886.4036482576978</v>
      </c>
      <c r="G235" s="46">
        <f>IF(+DropINTable!AE174=0,DropINTable!AF174,DropINTable!AE174)</f>
        <v>886.4036482576978</v>
      </c>
      <c r="H235" s="46">
        <f>IF(+DropINTable!AF174=0,DropINTable!AG174,DropINTable!AF174)</f>
        <v>926.98487300855425</v>
      </c>
      <c r="I235" s="46">
        <f>IF(+DropINTable!AG174=0,DropINTable!AH174,DropINTable!AG174)</f>
        <v>989.76192337243947</v>
      </c>
      <c r="J235" s="46">
        <f>IF(+DropINTable!AH174=0,DropINTable!AI174,DropINTable!AH174)</f>
        <v>1076.8038683858706</v>
      </c>
      <c r="K235" s="46">
        <f>IF(+DropINTable!AI174=0,DropINTable!AJ174,DropINTable!AI174)</f>
        <v>1150.5916800788759</v>
      </c>
      <c r="L235" s="46">
        <f>IF(+DropINTable!AJ174=0,DropINTable!AK174,DropINTable!AJ174)</f>
        <v>1232.7001771470696</v>
      </c>
      <c r="M235" s="46">
        <f>IF(+DropINTable!AK174=0,DropINTable!AL174,DropINTable!AK174)</f>
        <v>1280.957248655684</v>
      </c>
      <c r="N235" s="46">
        <f>IF(+DropINTable!AL174=0,DropINTable!AM174,DropINTable!AL174)</f>
        <v>1346.8038609454225</v>
      </c>
      <c r="O235" s="46">
        <f>IF(+DropINTable!AM174=0,DropINTable!AN174,DropINTable!AM174)</f>
        <v>1463.0160618740949</v>
      </c>
      <c r="P235" s="46">
        <f>IF(+DropINTable!AN174=0,DropINTable!AO174,DropINTable!AN174)</f>
        <v>1634.8745434750119</v>
      </c>
      <c r="Q235" s="46">
        <f>IF(+DropINTable!AO174=0,DropINTable!AP174,DropINTable!AO174)</f>
        <v>1649.663143635416</v>
      </c>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row>
    <row r="236" spans="1:40">
      <c r="B236" s="86" t="s">
        <v>1094</v>
      </c>
      <c r="C236" t="str">
        <f t="shared" ref="C236:C238" si="82">+CONCATENATE(A$231,B236)</f>
        <v>ACT &amp; NT2+4</v>
      </c>
      <c r="D236" s="46">
        <f>+D235+Per_child_accounting!$AD$121</f>
        <v>975.96306804836786</v>
      </c>
      <c r="E236" s="46">
        <f>+E235+Per_child_accounting!$AD$121</f>
        <v>975.96306804836786</v>
      </c>
      <c r="F236" s="46">
        <f>+F235+Per_child_accounting!AD$121</f>
        <v>975.96306804836786</v>
      </c>
      <c r="G236" s="46">
        <f>+G235+Per_child_accounting!AE$121</f>
        <v>976.06929751682787</v>
      </c>
      <c r="H236" s="46">
        <f>+H235+Per_child_accounting!AF$121</f>
        <v>1016.8244204331429</v>
      </c>
      <c r="I236" s="46">
        <f>+I235+Per_child_accounting!AG$121</f>
        <v>1079.8704856148497</v>
      </c>
      <c r="J236" s="46">
        <f>+J235+Per_child_accounting!AH$121</f>
        <v>1167.2854257670319</v>
      </c>
      <c r="K236" s="46">
        <f>+K235+Per_child_accounting!AI$121</f>
        <v>1241.3894350364139</v>
      </c>
      <c r="L236" s="46">
        <f>+L235+Per_child_accounting!AJ$121</f>
        <v>1323.8497857731986</v>
      </c>
      <c r="M236" s="46">
        <f>+M235+Per_child_accounting!AK$121</f>
        <v>1372.3136489473136</v>
      </c>
      <c r="N236" s="46">
        <f>+N235+Per_child_accounting!AL$121</f>
        <v>1438.4424304377637</v>
      </c>
      <c r="O236" s="46">
        <f>+O235+Per_child_accounting!AM$121</f>
        <v>1555.1526272955914</v>
      </c>
      <c r="P236" s="46">
        <f>+P235+Per_child_accounting!AN$121</f>
        <v>1727.7475621828373</v>
      </c>
      <c r="Q236" s="46">
        <f>+Q235+Per_child_accounting!AO$121</f>
        <v>1742.5995332565178</v>
      </c>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row>
    <row r="237" spans="1:40">
      <c r="B237" s="86" t="s">
        <v>1095</v>
      </c>
      <c r="C237" t="str">
        <f t="shared" si="82"/>
        <v>ACT &amp; NT2+5</v>
      </c>
      <c r="D237" s="46">
        <f>+D236+Per_child_accounting!$AD$121</f>
        <v>1065.5224878390379</v>
      </c>
      <c r="E237" s="46">
        <f>+E236+Per_child_accounting!$AD$121</f>
        <v>1065.5224878390379</v>
      </c>
      <c r="F237" s="46">
        <f>+F236+Per_child_accounting!$AD$121</f>
        <v>1065.5224878390379</v>
      </c>
      <c r="G237" s="46">
        <f>+G236+Per_child_accounting!AE$121</f>
        <v>1065.734946775958</v>
      </c>
      <c r="H237" s="46">
        <f>+H236+Per_child_accounting!AF$121</f>
        <v>1106.6639678577317</v>
      </c>
      <c r="I237" s="46">
        <f>+I236+Per_child_accounting!AG$121</f>
        <v>1169.97904785726</v>
      </c>
      <c r="J237" s="46">
        <f>+J236+Per_child_accounting!AH$121</f>
        <v>1257.766983148193</v>
      </c>
      <c r="K237" s="46">
        <f>+K236+Per_child_accounting!AI$121</f>
        <v>1332.187189993952</v>
      </c>
      <c r="L237" s="46">
        <f>+L236+Per_child_accounting!AJ$121</f>
        <v>1414.9993943993277</v>
      </c>
      <c r="M237" s="46">
        <f>+M236+Per_child_accounting!AK$121</f>
        <v>1463.6700492389432</v>
      </c>
      <c r="N237" s="46">
        <f>+N236+Per_child_accounting!AL$121</f>
        <v>1530.080999930105</v>
      </c>
      <c r="O237" s="46">
        <f>+O236+Per_child_accounting!AM$121</f>
        <v>1647.2891927170879</v>
      </c>
      <c r="P237" s="46">
        <f>+P236+Per_child_accounting!AN$121</f>
        <v>1820.6205808906627</v>
      </c>
      <c r="Q237" s="46">
        <f>+Q236+Per_child_accounting!AO$121</f>
        <v>1835.5359228776197</v>
      </c>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row>
    <row r="238" spans="1:40">
      <c r="B238" s="86" t="s">
        <v>1096</v>
      </c>
      <c r="C238" t="str">
        <f t="shared" si="82"/>
        <v>ACT &amp; NT2+6</v>
      </c>
      <c r="D238" s="46">
        <f>+D237+Per_child_accounting!$AD$121</f>
        <v>1155.081907629708</v>
      </c>
      <c r="E238" s="46">
        <f>+E237+Per_child_accounting!$AD$121</f>
        <v>1155.081907629708</v>
      </c>
      <c r="F238" s="46">
        <f>+F237+Per_child_accounting!$AD$121</f>
        <v>1155.081907629708</v>
      </c>
      <c r="G238" s="46">
        <f>+G237+Per_child_accounting!AE$121</f>
        <v>1155.400596035088</v>
      </c>
      <c r="H238" s="46">
        <f>+H237+Per_child_accounting!AF$121</f>
        <v>1196.5035152823202</v>
      </c>
      <c r="I238" s="46">
        <f>+I237+Per_child_accounting!AG$121</f>
        <v>1260.0876100996702</v>
      </c>
      <c r="J238" s="46">
        <f>+J237+Per_child_accounting!AH$121</f>
        <v>1348.2485405293542</v>
      </c>
      <c r="K238" s="46">
        <f>+K237+Per_child_accounting!AI$121</f>
        <v>1422.98494495149</v>
      </c>
      <c r="L238" s="46">
        <f>+L237+Per_child_accounting!AJ$121</f>
        <v>1506.1490030254568</v>
      </c>
      <c r="M238" s="46">
        <f>+M237+Per_child_accounting!AK$121</f>
        <v>1555.0264495305728</v>
      </c>
      <c r="N238" s="46">
        <f>+N237+Per_child_accounting!AL$121</f>
        <v>1621.7195694224463</v>
      </c>
      <c r="O238" s="46">
        <f>+O237+Per_child_accounting!AM$121</f>
        <v>1739.4257581385843</v>
      </c>
      <c r="P238" s="46">
        <f>+P237+Per_child_accounting!AN$121</f>
        <v>1913.4935995984881</v>
      </c>
      <c r="Q238" s="46">
        <f>+Q237+Per_child_accounting!AO$121</f>
        <v>1928.4723124987215</v>
      </c>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row>
    <row r="239" spans="1:40">
      <c r="B239" s="86"/>
      <c r="D239" s="46"/>
      <c r="E239" s="46"/>
      <c r="F239" s="46"/>
      <c r="G239" s="46"/>
      <c r="H239" s="46"/>
      <c r="I239" s="46"/>
      <c r="J239" s="46"/>
      <c r="K239" s="46"/>
      <c r="L239" s="46"/>
      <c r="M239" s="46"/>
      <c r="N239" s="46"/>
      <c r="O239" s="46"/>
      <c r="P239" s="46"/>
      <c r="Q239" s="46"/>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row>
    <row r="240" spans="1:40">
      <c r="A240" t="s">
        <v>1097</v>
      </c>
      <c r="B240" s="86" t="s">
        <v>1098</v>
      </c>
      <c r="C240" t="str">
        <f t="shared" si="79"/>
        <v>ACT &amp; NT1+0</v>
      </c>
      <c r="D240" s="46">
        <f>IF(+DropINTable!AB176=0,DropINTable!AC176,DropINTable!AB176)</f>
        <v>336.54242848908052</v>
      </c>
      <c r="E240" s="46">
        <f>IF(+DropINTable!AC176=0,DropINTable!AD176,DropINTable!AC176)</f>
        <v>351.94611026242944</v>
      </c>
      <c r="F240" s="46">
        <f>IF(+DropINTable!AD176=0,DropINTable!AE176,DropINTable!AD176)</f>
        <v>366.7049721993348</v>
      </c>
      <c r="G240" s="46">
        <f>IF(+DropINTable!AE176=0,DropINTable!AF176,DropINTable!AE176)</f>
        <v>391.60343635909783</v>
      </c>
      <c r="H240" s="46">
        <f>IF(+DropINTable!AF176=0,DropINTable!AG176,DropINTable!AF176)</f>
        <v>432.36246082540617</v>
      </c>
      <c r="I240" s="46">
        <f>IF(+DropINTable!AG176=0,DropINTable!AH176,DropINTable!AG176)</f>
        <v>495.41455826329832</v>
      </c>
      <c r="J240" s="46">
        <f>IF(+DropINTable!AH176=0,DropINTable!AI176,DropINTable!AH176)</f>
        <v>582.83786554687822</v>
      </c>
      <c r="K240" s="46">
        <f>IF(+DropINTable!AI176=0,DropINTable!AJ176,DropINTable!AI176)</f>
        <v>656.94896752018803</v>
      </c>
      <c r="L240" s="46">
        <f>IF(+DropINTable!AJ176=0,DropINTable!AK176,DropINTable!AJ176)</f>
        <v>739.41720771926964</v>
      </c>
      <c r="M240" s="46">
        <f>IF(+DropINTable!AK176=0,DropINTable!AL176,DropINTable!AK176)</f>
        <v>787.88570882004615</v>
      </c>
      <c r="N240" s="46">
        <f>IF(+DropINTable!AL176=0,DropINTable!AM176,DropINTable!AL176)</f>
        <v>854.02081833166028</v>
      </c>
      <c r="O240" s="46">
        <f>IF(+DropINTable!AM176=0,DropINTable!AN176,DropINTable!AM176)</f>
        <v>970.7421865335383</v>
      </c>
      <c r="P240" s="46">
        <f>IF(+DropINTable!AN176=0,DropINTable!AO176,DropINTable!AN176)</f>
        <v>1143.3536405463037</v>
      </c>
      <c r="Q240" s="46">
        <f>IF(+DropINTable!AO176=0,DropINTable!AP176,DropINTable!AO176)</f>
        <v>1158.2070358937158</v>
      </c>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row>
    <row r="241" spans="1:40">
      <c r="A241" t="s">
        <v>1099</v>
      </c>
      <c r="B241" s="86" t="s">
        <v>1100</v>
      </c>
      <c r="C241" t="str">
        <f t="shared" si="79"/>
        <v>ACT &amp; NT1+1</v>
      </c>
      <c r="D241" s="46">
        <f>IF(+DropINTable!AB177=0,DropINTable!AC177,DropINTable!AB177)</f>
        <v>449.00607267684506</v>
      </c>
      <c r="E241" s="46">
        <f>IF(+DropINTable!AC177=0,DropINTable!AD177,DropINTable!AC177)</f>
        <v>449.00607267684506</v>
      </c>
      <c r="F241" s="46">
        <f>IF(+DropINTable!AD177=0,DropINTable!AE177,DropINTable!AD177)</f>
        <v>463.66692273089143</v>
      </c>
      <c r="G241" s="46">
        <f>IF(+DropINTable!AE177=0,DropINTable!AF177,DropINTable!AE177)</f>
        <v>488.40003814029376</v>
      </c>
      <c r="H241" s="46">
        <f>IF(+DropINTable!AF177=0,DropINTable!AG177,DropINTable!AF177)</f>
        <v>528.88838288409693</v>
      </c>
      <c r="I241" s="46">
        <f>IF(+DropINTable!AG177=0,DropINTable!AH177,DropINTable!AG177)</f>
        <v>591.52175740752318</v>
      </c>
      <c r="J241" s="46">
        <f>IF(+DropINTable!AH177=0,DropINTable!AI177,DropINTable!AH177)</f>
        <v>678.36449418259792</v>
      </c>
      <c r="K241" s="46">
        <f>IF(+DropINTable!AI177=0,DropINTable!AJ177,DropINTable!AI177)</f>
        <v>751.98342960479624</v>
      </c>
      <c r="L241" s="46">
        <f>IF(+DropINTable!AJ177=0,DropINTable!AK177,DropINTable!AJ177)</f>
        <v>833.90400716692204</v>
      </c>
      <c r="M241" s="46">
        <f>IF(+DropINTable!AK177=0,DropINTable!AL177,DropINTable!AK177)</f>
        <v>882.05063391404087</v>
      </c>
      <c r="N241" s="46">
        <f>IF(+DropINTable!AL177=0,DropINTable!AM177,DropINTable!AL177)</f>
        <v>947.74654605907608</v>
      </c>
      <c r="O241" s="46">
        <f>IF(+DropINTable!AM177=0,DropINTable!AN177,DropINTable!AM177)</f>
        <v>1063.6927756506136</v>
      </c>
      <c r="P241" s="46">
        <f>IF(+DropINTable!AN177=0,DropINTable!AO177,DropINTable!AN177)</f>
        <v>1235.1579333743634</v>
      </c>
      <c r="Q241" s="46">
        <f>IF(+DropINTable!AO177=0,DropINTable!AP177,DropINTable!AO177)</f>
        <v>1249.9126859576184</v>
      </c>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row>
    <row r="242" spans="1:40">
      <c r="A242" t="s">
        <v>1101</v>
      </c>
      <c r="B242" s="86" t="s">
        <v>1102</v>
      </c>
      <c r="C242" t="str">
        <f t="shared" si="79"/>
        <v>ACT &amp; NT1+2</v>
      </c>
      <c r="D242" s="46">
        <f>IF(+DropINTable!AB178=0,DropINTable!AC178,DropINTable!AB178)</f>
        <v>559.19651207980212</v>
      </c>
      <c r="E242" s="46">
        <f>IF(+DropINTable!AC178=0,DropINTable!AD178,DropINTable!AC178)</f>
        <v>559.19651207980212</v>
      </c>
      <c r="F242" s="46">
        <f>IF(+DropINTable!AD178=0,DropINTable!AE178,DropINTable!AD178)</f>
        <v>573.83638855961431</v>
      </c>
      <c r="G242" s="46">
        <f>IF(+DropINTable!AE178=0,DropINTable!AF178,DropINTable!AE178)</f>
        <v>598.53412093456109</v>
      </c>
      <c r="H242" s="46">
        <f>IF(+DropINTable!AF178=0,DropINTable!AG178,DropINTable!AF178)</f>
        <v>638.96454451635157</v>
      </c>
      <c r="I242" s="46">
        <f>IF(+DropINTable!AG178=0,DropINTable!AH178,DropINTable!AG178)</f>
        <v>701.50831404288544</v>
      </c>
      <c r="J242" s="46">
        <f>IF(+DropINTable!AH178=0,DropINTable!AI178,DropINTable!AH178)</f>
        <v>788.22681151938332</v>
      </c>
      <c r="K242" s="46">
        <f>IF(+DropINTable!AI178=0,DropINTable!AJ178,DropINTable!AI178)</f>
        <v>861.74043033072121</v>
      </c>
      <c r="L242" s="46">
        <f>IF(+DropINTable!AJ178=0,DropINTable!AK178,DropINTable!AJ178)</f>
        <v>943.54380605802157</v>
      </c>
      <c r="M242" s="46">
        <f>IF(+DropINTable!AK178=0,DropINTable!AL178,DropINTable!AK178)</f>
        <v>991.62155385417236</v>
      </c>
      <c r="N242" s="46">
        <f>IF(+DropINTable!AL178=0,DropINTable!AM178,DropINTable!AL178)</f>
        <v>1057.2234767173422</v>
      </c>
      <c r="O242" s="46">
        <f>IF(+DropINTable!AM178=0,DropINTable!AN178,DropINTable!AM178)</f>
        <v>1173.0038324956224</v>
      </c>
      <c r="P242" s="46">
        <f>IF(+DropINTable!AN178=0,DropINTable!AO178,DropINTable!AN178)</f>
        <v>1344.2236884963104</v>
      </c>
      <c r="Q242" s="46">
        <f>IF(+DropINTable!AO178=0,DropINTable!AP178,DropINTable!AO178)</f>
        <v>1358.9573370596083</v>
      </c>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row>
    <row r="243" spans="1:40">
      <c r="A243" t="s">
        <v>1103</v>
      </c>
      <c r="B243" s="86" t="s">
        <v>1104</v>
      </c>
      <c r="C243" t="str">
        <f t="shared" si="79"/>
        <v>ACT &amp; NT1+3</v>
      </c>
      <c r="D243" s="46">
        <f>+E243</f>
        <v>684.00585438833718</v>
      </c>
      <c r="E243" s="46">
        <f>IF(+DropINTable!AC179=0,DropINTable!AD179,DropINTable!AC179)</f>
        <v>684.00585438833718</v>
      </c>
      <c r="F243" s="46">
        <f>IF(+DropINTable!AD179=0,DropINTable!AE179,DropINTable!AD179)</f>
        <v>684.00585438833718</v>
      </c>
      <c r="G243" s="46">
        <f>IF(+DropINTable!AE179=0,DropINTable!AF179,DropINTable!AE179)</f>
        <v>708.66820372882842</v>
      </c>
      <c r="H243" s="46">
        <f>IF(+DropINTable!AF179=0,DropINTable!AG179,DropINTable!AF179)</f>
        <v>749.0407061486062</v>
      </c>
      <c r="I243" s="46">
        <f>IF(+DropINTable!AG179=0,DropINTable!AH179,DropINTable!AG179)</f>
        <v>811.49487067824771</v>
      </c>
      <c r="J243" s="46">
        <f>IF(+DropINTable!AH179=0,DropINTable!AI179,DropINTable!AH179)</f>
        <v>898.08912885616871</v>
      </c>
      <c r="K243" s="46">
        <f>IF(+DropINTable!AI179=0,DropINTable!AJ179,DropINTable!AI179)</f>
        <v>971.49743105664618</v>
      </c>
      <c r="L243" s="46">
        <f>IF(+DropINTable!AJ179=0,DropINTable!AK179,DropINTable!AJ179)</f>
        <v>1053.1836049491212</v>
      </c>
      <c r="M243" s="46">
        <f>IF(+DropINTable!AK179=0,DropINTable!AL179,DropINTable!AK179)</f>
        <v>1101.1924737943039</v>
      </c>
      <c r="N243" s="46">
        <f>IF(+DropINTable!AL179=0,DropINTable!AM179,DropINTable!AL179)</f>
        <v>1166.7004073756084</v>
      </c>
      <c r="O243" s="46">
        <f>IF(+DropINTable!AM179=0,DropINTable!AN179,DropINTable!AM179)</f>
        <v>1282.3148893406312</v>
      </c>
      <c r="P243" s="46">
        <f>IF(+DropINTable!AN179=0,DropINTable!AO179,DropINTable!AN179)</f>
        <v>1453.2894436182573</v>
      </c>
      <c r="Q243" s="46">
        <f>IF(+DropINTable!AO179=0,DropINTable!AP179,DropINTable!AO179)</f>
        <v>1468.0019881615983</v>
      </c>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row>
    <row r="244" spans="1:40">
      <c r="B244" s="86" t="s">
        <v>1105</v>
      </c>
      <c r="C244" t="str">
        <f t="shared" ref="C244:C246" si="83">+CONCATENATE(A$231,B244)</f>
        <v>ACT &amp; NT1+4</v>
      </c>
      <c r="D244" s="46">
        <f>+D243+Per_child_accounting!AC$124</f>
        <v>781.06581680275281</v>
      </c>
      <c r="E244" s="46">
        <f>+E243+Per_child_accounting!AC$124</f>
        <v>781.06581680275281</v>
      </c>
      <c r="F244" s="46">
        <f>+F243+Per_child_accounting!AD$124</f>
        <v>780.96780491989375</v>
      </c>
      <c r="G244" s="46">
        <f>+G243+Per_child_accounting!AE$124</f>
        <v>805.46480551002435</v>
      </c>
      <c r="H244" s="46">
        <f>+H243+Per_child_accounting!AF$124</f>
        <v>845.56662820729696</v>
      </c>
      <c r="I244" s="46">
        <f>+I243+Per_child_accounting!AG$124</f>
        <v>907.60206982247257</v>
      </c>
      <c r="J244" s="46">
        <f>+J243+Per_child_accounting!AH$124</f>
        <v>993.61575749188842</v>
      </c>
      <c r="K244" s="46">
        <f>+K243+Per_child_accounting!AI$124</f>
        <v>1066.5318931412544</v>
      </c>
      <c r="L244" s="46">
        <f>+L243+Per_child_accounting!AJ$124</f>
        <v>1147.6704043967736</v>
      </c>
      <c r="M244" s="46">
        <f>+M243+Per_child_accounting!AK$124</f>
        <v>1195.3573988882986</v>
      </c>
      <c r="N244" s="46">
        <f>+N243+Per_child_accounting!AL$124</f>
        <v>1260.4261351030241</v>
      </c>
      <c r="O244" s="46">
        <f>+O243+Per_child_accounting!AM$124</f>
        <v>1375.2654784577066</v>
      </c>
      <c r="P244" s="46">
        <f>+P243+Per_child_accounting!AN$124</f>
        <v>1545.0937364463171</v>
      </c>
      <c r="Q244" s="46">
        <f>+Q243+Per_child_accounting!AO$124</f>
        <v>1559.7076382255009</v>
      </c>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row>
    <row r="245" spans="1:40">
      <c r="B245" s="86" t="s">
        <v>1106</v>
      </c>
      <c r="C245" t="str">
        <f t="shared" si="83"/>
        <v>ACT &amp; NT1+5</v>
      </c>
      <c r="D245" s="46">
        <f>+D244+Per_child_accounting!AC$124</f>
        <v>878.12577921716843</v>
      </c>
      <c r="E245" s="46">
        <f>+E244+Per_child_accounting!AC$124</f>
        <v>878.12577921716843</v>
      </c>
      <c r="F245" s="46">
        <f>+F244+Per_child_accounting!AD$124</f>
        <v>877.92975545145032</v>
      </c>
      <c r="G245" s="46">
        <f>+G244+Per_child_accounting!AE$124</f>
        <v>902.26140729122028</v>
      </c>
      <c r="H245" s="46">
        <f>+H244+Per_child_accounting!AF$124</f>
        <v>942.09255026598771</v>
      </c>
      <c r="I245" s="46">
        <f>+I244+Per_child_accounting!AG$124</f>
        <v>1003.7092689666974</v>
      </c>
      <c r="J245" s="46">
        <f>+J244+Per_child_accounting!AH$124</f>
        <v>1089.142386127608</v>
      </c>
      <c r="K245" s="46">
        <f>+K244+Per_child_accounting!AI$124</f>
        <v>1161.5663552258625</v>
      </c>
      <c r="L245" s="46">
        <f>+L244+Per_child_accounting!AJ$124</f>
        <v>1242.157203844426</v>
      </c>
      <c r="M245" s="46">
        <f>+M244+Per_child_accounting!AK$124</f>
        <v>1289.5223239822933</v>
      </c>
      <c r="N245" s="46">
        <f>+N244+Per_child_accounting!AL$124</f>
        <v>1354.1518628304398</v>
      </c>
      <c r="O245" s="46">
        <f>+O244+Per_child_accounting!AM$124</f>
        <v>1468.2160675747818</v>
      </c>
      <c r="P245" s="46">
        <f>+P244+Per_child_accounting!AN$124</f>
        <v>1636.8980292743768</v>
      </c>
      <c r="Q245" s="46">
        <f>+Q244+Per_child_accounting!AO$124</f>
        <v>1651.4132882894035</v>
      </c>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row>
    <row r="246" spans="1:40">
      <c r="B246" s="86" t="s">
        <v>1107</v>
      </c>
      <c r="C246" t="str">
        <f t="shared" si="83"/>
        <v>ACT &amp; NT1+6</v>
      </c>
      <c r="D246" s="46">
        <f>+D245+Per_child_accounting!AC$124</f>
        <v>975.18574163158405</v>
      </c>
      <c r="E246" s="46">
        <f>+E245+Per_child_accounting!AC$124</f>
        <v>975.18574163158405</v>
      </c>
      <c r="F246" s="46">
        <f>+F245+Per_child_accounting!AD$124</f>
        <v>974.89170598300689</v>
      </c>
      <c r="G246" s="46">
        <f>+G245+Per_child_accounting!AE$124</f>
        <v>999.05800907241621</v>
      </c>
      <c r="H246" s="46">
        <f>+H245+Per_child_accounting!AF$124</f>
        <v>1038.6184723246784</v>
      </c>
      <c r="I246" s="46">
        <f>+I245+Per_child_accounting!AG$124</f>
        <v>1099.8164681109224</v>
      </c>
      <c r="J246" s="46">
        <f>+J245+Per_child_accounting!AH$124</f>
        <v>1184.6690147633276</v>
      </c>
      <c r="K246" s="46">
        <f>+K245+Per_child_accounting!AI$124</f>
        <v>1256.6008173104706</v>
      </c>
      <c r="L246" s="46">
        <f>+L245+Per_child_accounting!AJ$124</f>
        <v>1336.6440032920784</v>
      </c>
      <c r="M246" s="46">
        <f>+M245+Per_child_accounting!AK$124</f>
        <v>1383.687249076288</v>
      </c>
      <c r="N246" s="46">
        <f>+N245+Per_child_accounting!AL$124</f>
        <v>1447.8775905578555</v>
      </c>
      <c r="O246" s="46">
        <f>+O245+Per_child_accounting!AM$124</f>
        <v>1561.166656691857</v>
      </c>
      <c r="P246" s="46">
        <f>+P245+Per_child_accounting!AN$124</f>
        <v>1728.7023221024365</v>
      </c>
      <c r="Q246" s="46">
        <f>+Q245+Per_child_accounting!AO$124</f>
        <v>1743.118938353306</v>
      </c>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row>
  </sheetData>
  <sheetProtection algorithmName="SHA-512" hashValue="bZJoE+s4ghMsff5Hv7JGZrQiXFkwLnREwrgXCx6o3+X3m0V0jXK1tSP7NywJ9UpzE3yd0iUp23GVgtLOVys93A==" saltValue="YvPxv6PIPPMqJVJ024K2GA==" spinCount="100000" sheet="1" objects="1" scenarios="1" selectLockedCells="1"/>
  <autoFilter ref="A9:AU243" xr:uid="{00000000-0009-0000-0000-000008000000}"/>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U184"/>
  <sheetViews>
    <sheetView topLeftCell="Y12" workbookViewId="0">
      <selection activeCell="AF22" sqref="AF22"/>
    </sheetView>
  </sheetViews>
  <sheetFormatPr defaultRowHeight="12.75"/>
  <cols>
    <col min="1" max="1" width="25" customWidth="1"/>
    <col min="2" max="2" width="10.28515625" bestFit="1" customWidth="1"/>
    <col min="3" max="3" width="10.5703125" customWidth="1"/>
    <col min="5" max="5" width="35.140625" customWidth="1"/>
    <col min="7" max="7" width="9.85546875" bestFit="1" customWidth="1"/>
    <col min="8" max="8" width="10.140625" customWidth="1"/>
    <col min="9" max="9" width="11.5703125" customWidth="1"/>
    <col min="10" max="10" width="35" customWidth="1"/>
    <col min="11" max="11" width="9.140625" customWidth="1"/>
    <col min="12" max="12" width="4.28515625" customWidth="1"/>
    <col min="15" max="15" width="9.42578125" customWidth="1"/>
    <col min="27" max="27" width="31.85546875" bestFit="1" customWidth="1"/>
    <col min="34" max="41" width="9.5703125" bestFit="1" customWidth="1"/>
    <col min="42" max="43" width="7.140625" customWidth="1"/>
  </cols>
  <sheetData>
    <row r="1" spans="1:43">
      <c r="A1" t="s">
        <v>1108</v>
      </c>
    </row>
    <row r="2" spans="1:43">
      <c r="A2" t="s">
        <v>1109</v>
      </c>
    </row>
    <row r="3" spans="1:43">
      <c r="A3" t="s">
        <v>1110</v>
      </c>
    </row>
    <row r="4" spans="1:43">
      <c r="A4" t="s">
        <v>1111</v>
      </c>
    </row>
    <row r="5" spans="1:43">
      <c r="A5" t="s">
        <v>1112</v>
      </c>
    </row>
    <row r="6" spans="1:43" ht="12.75" customHeight="1">
      <c r="A6" s="67" t="s">
        <v>1182</v>
      </c>
      <c r="AC6" s="369"/>
    </row>
    <row r="7" spans="1:43" ht="28.5">
      <c r="A7" t="s">
        <v>1183</v>
      </c>
      <c r="AC7" s="369" t="s">
        <v>1080</v>
      </c>
    </row>
    <row r="8" spans="1:43">
      <c r="A8" t="s">
        <v>1184</v>
      </c>
      <c r="AE8" s="368" t="s">
        <v>1081</v>
      </c>
    </row>
    <row r="9" spans="1:43">
      <c r="A9" s="376" t="str">
        <f>+DropINTable!A9</f>
        <v>All HEMs are expressed in June 2025 dollars; Data used is the 2015-16 Household Expenditure Survey (HES)</v>
      </c>
      <c r="AG9" s="374" t="s">
        <v>1082</v>
      </c>
    </row>
    <row r="11" spans="1:43" ht="43.5" customHeight="1">
      <c r="AB11" s="589"/>
      <c r="AC11" s="590"/>
      <c r="AD11" s="590"/>
      <c r="AE11" s="591" t="s">
        <v>1083</v>
      </c>
      <c r="AF11" s="590"/>
      <c r="AG11" s="590"/>
      <c r="AH11" s="590"/>
      <c r="AI11" s="590"/>
      <c r="AJ11" s="590"/>
      <c r="AK11" s="590"/>
      <c r="AL11" s="590"/>
      <c r="AM11" s="590"/>
      <c r="AN11" s="590"/>
      <c r="AO11" s="590"/>
    </row>
    <row r="12" spans="1:43" ht="28.5">
      <c r="A12" s="369" t="s">
        <v>1116</v>
      </c>
      <c r="E12" s="369" t="s">
        <v>1117</v>
      </c>
      <c r="N12" s="369" t="s">
        <v>1118</v>
      </c>
      <c r="AB12" s="592">
        <f>+DropINTable!AB11</f>
        <v>26000</v>
      </c>
      <c r="AC12" s="592">
        <f>+DropINTable!AC11</f>
        <v>26000</v>
      </c>
      <c r="AD12" s="592">
        <f>+DropINTable!AD11</f>
        <v>39000</v>
      </c>
      <c r="AE12" s="592">
        <f>+DropINTable!AE11</f>
        <v>52000</v>
      </c>
      <c r="AF12" s="592">
        <f>+DropINTable!AF11</f>
        <v>66000</v>
      </c>
      <c r="AG12" s="592">
        <f>+DropINTable!AG11</f>
        <v>79000</v>
      </c>
      <c r="AH12" s="592">
        <f>+DropINTable!AH11</f>
        <v>105000</v>
      </c>
      <c r="AI12" s="592">
        <f>+DropINTable!AI11</f>
        <v>131000</v>
      </c>
      <c r="AJ12" s="592">
        <f>+DropINTable!AJ11</f>
        <v>157000</v>
      </c>
      <c r="AK12" s="592">
        <f>+DropINTable!AK11</f>
        <v>184000</v>
      </c>
      <c r="AL12" s="592">
        <f>+DropINTable!AL11</f>
        <v>210000</v>
      </c>
      <c r="AM12" s="592">
        <f>+DropINTable!AM11</f>
        <v>262000</v>
      </c>
      <c r="AN12" s="592">
        <f>+DropINTable!AN11</f>
        <v>328000</v>
      </c>
      <c r="AO12" s="592">
        <f>+DropINTable!AO11</f>
        <v>394000</v>
      </c>
    </row>
    <row r="13" spans="1:43" ht="14.25">
      <c r="A13" t="str">
        <f>+DropINTable!A12</f>
        <v>(Poverty Lines: Australia, March Quarter, 2025)</v>
      </c>
      <c r="E13" s="374" t="s">
        <v>1119</v>
      </c>
      <c r="O13" s="368" t="s">
        <v>1081</v>
      </c>
      <c r="AB13" s="592" t="str">
        <f>+DropINTable!AB12</f>
        <v>or less</v>
      </c>
      <c r="AC13" s="592" t="str">
        <f>+DropINTable!AC12</f>
        <v>to</v>
      </c>
      <c r="AD13" s="592" t="str">
        <f>+DropINTable!AD12</f>
        <v>to</v>
      </c>
      <c r="AE13" s="592" t="str">
        <f>+DropINTable!AE12</f>
        <v>to</v>
      </c>
      <c r="AF13" s="592" t="str">
        <f>+DropINTable!AF12</f>
        <v>to</v>
      </c>
      <c r="AG13" s="592" t="str">
        <f>+DropINTable!AG12</f>
        <v>to</v>
      </c>
      <c r="AH13" s="592" t="str">
        <f>+DropINTable!AH12</f>
        <v>to</v>
      </c>
      <c r="AI13" s="592" t="str">
        <f>+DropINTable!AI12</f>
        <v>to</v>
      </c>
      <c r="AJ13" s="592" t="str">
        <f>+DropINTable!AJ12</f>
        <v>to</v>
      </c>
      <c r="AK13" s="592" t="str">
        <f>+DropINTable!AK12</f>
        <v>to</v>
      </c>
      <c r="AL13" s="592" t="str">
        <f>+DropINTable!AL12</f>
        <v>to</v>
      </c>
      <c r="AM13" s="592" t="str">
        <f>+DropINTable!AM12</f>
        <v>to</v>
      </c>
      <c r="AN13" s="592" t="str">
        <f>+DropINTable!AN12</f>
        <v>to</v>
      </c>
      <c r="AO13" s="592" t="str">
        <f>+DropINTable!AO12</f>
        <v>to</v>
      </c>
    </row>
    <row r="14" spans="1:43" ht="14.25">
      <c r="E14" s="374" t="s">
        <v>1082</v>
      </c>
      <c r="Q14" s="374" t="s">
        <v>1185</v>
      </c>
      <c r="AB14" s="592">
        <f>+DropINTable!AB13</f>
        <v>0</v>
      </c>
      <c r="AC14" s="592">
        <f>+DropINTable!AC13</f>
        <v>39000</v>
      </c>
      <c r="AD14" s="592">
        <f>+DropINTable!AD13</f>
        <v>52000</v>
      </c>
      <c r="AE14" s="592">
        <f>+DropINTable!AE13</f>
        <v>66000</v>
      </c>
      <c r="AF14" s="592">
        <f>+DropINTable!AF13</f>
        <v>79000</v>
      </c>
      <c r="AG14" s="592">
        <f>+DropINTable!AG13</f>
        <v>105000</v>
      </c>
      <c r="AH14" s="592">
        <f>+DropINTable!AH13</f>
        <v>131000</v>
      </c>
      <c r="AI14" s="592">
        <f>+DropINTable!AI13</f>
        <v>157000</v>
      </c>
      <c r="AJ14" s="592">
        <f>+DropINTable!AJ13</f>
        <v>184000</v>
      </c>
      <c r="AK14" s="592">
        <f>+DropINTable!AK13</f>
        <v>210000</v>
      </c>
      <c r="AL14" s="592">
        <f>+DropINTable!AL13</f>
        <v>262000</v>
      </c>
      <c r="AM14" s="592">
        <f>+DropINTable!AM13</f>
        <v>328000</v>
      </c>
      <c r="AN14" s="592">
        <f>+DropINTable!AN13</f>
        <v>394000</v>
      </c>
      <c r="AO14" s="592">
        <f>+DropINTable!AO13</f>
        <v>656000</v>
      </c>
    </row>
    <row r="15" spans="1:43" ht="54" customHeight="1">
      <c r="A15" s="372" t="s">
        <v>1122</v>
      </c>
      <c r="B15" s="370" t="s">
        <v>1123</v>
      </c>
      <c r="C15" s="375" t="s">
        <v>1124</v>
      </c>
      <c r="D15" s="370"/>
      <c r="E15" s="372" t="s">
        <v>1125</v>
      </c>
      <c r="F15" s="370" t="s">
        <v>1123</v>
      </c>
      <c r="G15" s="371" t="s">
        <v>1126</v>
      </c>
      <c r="H15" s="371"/>
      <c r="I15" s="371"/>
      <c r="K15" s="427" t="s">
        <v>243</v>
      </c>
      <c r="L15" s="427"/>
      <c r="M15" s="370" t="s">
        <v>231</v>
      </c>
      <c r="N15" s="370" t="s">
        <v>238</v>
      </c>
      <c r="O15" s="370" t="s">
        <v>232</v>
      </c>
      <c r="P15" s="370" t="s">
        <v>239</v>
      </c>
      <c r="Q15" s="370" t="s">
        <v>230</v>
      </c>
      <c r="R15" s="370" t="s">
        <v>237</v>
      </c>
      <c r="S15" s="370" t="s">
        <v>233</v>
      </c>
      <c r="T15" s="370" t="s">
        <v>240</v>
      </c>
      <c r="U15" s="370" t="s">
        <v>234</v>
      </c>
      <c r="V15" s="370" t="s">
        <v>242</v>
      </c>
      <c r="W15" s="370" t="s">
        <v>235</v>
      </c>
      <c r="X15" s="370" t="s">
        <v>241</v>
      </c>
      <c r="Y15" s="370" t="s">
        <v>1127</v>
      </c>
      <c r="Z15" s="370"/>
      <c r="AA15" s="369" t="s">
        <v>243</v>
      </c>
      <c r="AB15" s="131"/>
      <c r="AC15" s="68"/>
      <c r="AD15" s="68"/>
      <c r="AE15" s="68"/>
      <c r="AF15" s="68"/>
      <c r="AG15" s="68"/>
      <c r="AH15" s="68"/>
      <c r="AI15" s="68"/>
      <c r="AJ15" s="68"/>
      <c r="AK15" s="68"/>
      <c r="AL15" s="68"/>
      <c r="AM15" s="68"/>
      <c r="AN15" s="68"/>
      <c r="AO15" s="68"/>
    </row>
    <row r="16" spans="1:43" ht="14.25">
      <c r="A16" t="s">
        <v>1086</v>
      </c>
      <c r="B16" s="46">
        <f>+DropINTable!B15</f>
        <v>883.86</v>
      </c>
      <c r="C16" s="46">
        <f>+DropINTable!C15</f>
        <v>646.45000000000005</v>
      </c>
      <c r="D16" s="373"/>
      <c r="E16" t="s">
        <v>1086</v>
      </c>
      <c r="F16" s="47" t="str">
        <f>+DropINTable!F15</f>
        <v>-</v>
      </c>
      <c r="G16" s="47">
        <f>+DropINTable!G15</f>
        <v>793.02082824707031</v>
      </c>
      <c r="H16" s="47"/>
      <c r="I16" s="47"/>
      <c r="J16" t="s">
        <v>1086</v>
      </c>
      <c r="K16" s="46">
        <f>+DropINTable!K15</f>
        <v>808.79771537405315</v>
      </c>
      <c r="L16" s="46"/>
      <c r="M16" s="46">
        <f>+DropINTable!M15</f>
        <v>793.61898836588773</v>
      </c>
      <c r="N16" s="46">
        <f>+DropINTable!N15</f>
        <v>821.45999595426065</v>
      </c>
      <c r="O16" s="46">
        <f>+DropINTable!O15</f>
        <v>810.46879753417818</v>
      </c>
      <c r="P16" s="46">
        <f>+DropINTable!P15</f>
        <v>844.8859709256584</v>
      </c>
      <c r="Q16" s="46">
        <f>+DropINTable!Q15</f>
        <v>788.29511830584295</v>
      </c>
      <c r="R16" s="46">
        <f>+DropINTable!R15</f>
        <v>850.85135139184911</v>
      </c>
      <c r="S16" s="46">
        <f>+DropINTable!S15</f>
        <v>830.18986502495875</v>
      </c>
      <c r="T16" s="46">
        <f>+DropINTable!T15</f>
        <v>787.69963924440196</v>
      </c>
      <c r="U16" s="46">
        <f>+DropINTable!U15</f>
        <v>767.90684468934819</v>
      </c>
      <c r="V16" s="46">
        <f>+DropINTable!V15</f>
        <v>819.9026373954855</v>
      </c>
      <c r="W16" s="46">
        <f>+DropINTable!W15</f>
        <v>824.10000960230593</v>
      </c>
      <c r="X16" s="46">
        <f>+DropINTable!X15</f>
        <v>815.77677009115746</v>
      </c>
      <c r="Y16" s="46">
        <f>+DropINTable!Y15</f>
        <v>834.30040127233576</v>
      </c>
      <c r="Z16" s="46"/>
      <c r="AA16" t="s">
        <v>1086</v>
      </c>
      <c r="AB16" s="46">
        <f>+DropINTable!AB15</f>
        <v>0</v>
      </c>
      <c r="AC16" s="46">
        <f>+DropINTable!AC15</f>
        <v>598.59527296115107</v>
      </c>
      <c r="AD16" s="46">
        <f>+DropINTable!AD15</f>
        <v>613.32872098779649</v>
      </c>
      <c r="AE16" s="46">
        <f>+DropINTable!AE15</f>
        <v>638.18431144810233</v>
      </c>
      <c r="AF16" s="46">
        <f>+DropINTable!AF15</f>
        <v>678.87315014878493</v>
      </c>
      <c r="AG16" s="46">
        <f>+DropINTable!AG15</f>
        <v>741.81667604160373</v>
      </c>
      <c r="AH16" s="46">
        <f>+DropINTable!AH15</f>
        <v>829.08944485757706</v>
      </c>
      <c r="AI16" s="46">
        <f>+DropINTable!AI15</f>
        <v>903.07293066606462</v>
      </c>
      <c r="AJ16" s="46">
        <f>+DropINTable!AJ15</f>
        <v>985.39916656433468</v>
      </c>
      <c r="AK16" s="46">
        <f>+DropINTable!AK15</f>
        <v>1033.7842059931695</v>
      </c>
      <c r="AL16" s="46">
        <f>+DropINTable!AL15</f>
        <v>1099.8054338458803</v>
      </c>
      <c r="AM16" s="46">
        <f>+DropINTable!AM15</f>
        <v>1216.3258149006804</v>
      </c>
      <c r="AN16" s="46">
        <f>+DropINTable!AN15</f>
        <v>1388.6400400406708</v>
      </c>
      <c r="AO16" s="46">
        <f>+DropINTable!AO15</f>
        <v>1403.4678593893548</v>
      </c>
      <c r="AP16" s="46"/>
      <c r="AQ16" s="46"/>
    </row>
    <row r="17" spans="1:43" ht="14.25">
      <c r="A17" t="s">
        <v>1088</v>
      </c>
      <c r="B17" s="46">
        <f>+DropINTable!B16</f>
        <v>1062.44</v>
      </c>
      <c r="C17" s="46">
        <f>+DropINTable!C16</f>
        <v>803.56</v>
      </c>
      <c r="D17" s="373"/>
      <c r="E17" t="s">
        <v>1186</v>
      </c>
      <c r="F17" s="47" t="str">
        <f>+DropINTable!F16</f>
        <v>-</v>
      </c>
      <c r="G17" s="47">
        <f>+DropINTable!G16-DropINTable!G15</f>
        <v>237.77210998535156</v>
      </c>
      <c r="H17" s="47"/>
      <c r="I17" s="47"/>
      <c r="J17" t="s">
        <v>1186</v>
      </c>
      <c r="K17" s="46">
        <f>+DropINTable!K16-DropINTable!K15</f>
        <v>243.31192574859813</v>
      </c>
      <c r="L17" s="46"/>
      <c r="M17" s="46">
        <f>+DropINTable!M16-DropINTable!M15</f>
        <v>242.50719549354233</v>
      </c>
      <c r="N17" s="46">
        <f>+DropINTable!N16-DropINTable!N15</f>
        <v>242.62618684580389</v>
      </c>
      <c r="O17" s="46">
        <f>+DropINTable!O16-DropINTable!O15</f>
        <v>242.57921300150599</v>
      </c>
      <c r="P17" s="46">
        <f>+DropINTable!P16-DropINTable!P15</f>
        <v>242.72630587517654</v>
      </c>
      <c r="Q17" s="46">
        <f>+DropINTable!Q16-DropINTable!Q15</f>
        <v>242.48444456736308</v>
      </c>
      <c r="R17" s="46">
        <f>+DropINTable!R16-DropINTable!R15</f>
        <v>242.75180064114863</v>
      </c>
      <c r="S17" s="46">
        <f>+DropINTable!S16-DropINTable!S15</f>
        <v>242.66349788430546</v>
      </c>
      <c r="T17" s="46">
        <f>+DropINTable!T16-DropINTable!T15</f>
        <v>242.48189868882594</v>
      </c>
      <c r="U17" s="46">
        <f>+DropINTable!U16-DropINTable!U15</f>
        <v>242.39730413070299</v>
      </c>
      <c r="V17" s="46">
        <f>+DropINTable!V16-DropINTable!V15</f>
        <v>242.61952959262112</v>
      </c>
      <c r="W17" s="46">
        <f>+DropINTable!W16-DropINTable!W15</f>
        <v>242.63747053524878</v>
      </c>
      <c r="X17" s="46">
        <f>+DropINTable!X16-DropINTable!X15</f>
        <v>242.60189831276875</v>
      </c>
      <c r="Y17" s="46">
        <f>+DropINTable!Y16-DropINTable!Y15</f>
        <v>242.68106516249134</v>
      </c>
      <c r="Z17" s="46"/>
      <c r="AA17" t="s">
        <v>1186</v>
      </c>
      <c r="AB17" s="46">
        <f>IF(DropINTable!AB16-DropINTable!AB15&lt;0,0,+DropINTable!AB16-DropINTable!AB15)</f>
        <v>0</v>
      </c>
      <c r="AC17" s="46">
        <f>IF(DropINTable!AC16-DropINTable!AC15&lt;0,0,+DropINTable!AC16-DropINTable!AC15)</f>
        <v>0</v>
      </c>
      <c r="AD17" s="46">
        <f>IF(DropINTable!AD16-DropINTable!AD15&lt;0,0,+DropINTable!AD16-DropINTable!AD15)</f>
        <v>90.190278590384992</v>
      </c>
      <c r="AE17" s="46">
        <f>IF(DropINTable!AE16-DropINTable!AE15&lt;0,0,+DropINTable!AE16-DropINTable!AE15)</f>
        <v>90.296508939810906</v>
      </c>
      <c r="AF17" s="46">
        <f>IF(DropINTable!AF16-DropINTable!AF15&lt;0,0,+DropINTable!AF16-DropINTable!AF15)</f>
        <v>90.470409159497535</v>
      </c>
      <c r="AG17" s="46">
        <f>IF(DropINTable!AG16-DropINTable!AG15&lt;0,0,+DropINTable!AG16-DropINTable!AG15)</f>
        <v>90.739422090434232</v>
      </c>
      <c r="AH17" s="46">
        <f>IF(DropINTable!AH16-DropINTable!AH15&lt;0,0,+DropINTable!AH16-DropINTable!AH15)</f>
        <v>91.112417288941742</v>
      </c>
      <c r="AI17" s="46">
        <f>IF(DropINTable!AI16-DropINTable!AI15&lt;0,0,+DropINTable!AI16-DropINTable!AI15)</f>
        <v>91.428615664770746</v>
      </c>
      <c r="AJ17" s="46">
        <f>IF(DropINTable!AJ16-DropINTable!AJ15&lt;0,0,+DropINTable!AJ16-DropINTable!AJ15)</f>
        <v>91.780466748476442</v>
      </c>
      <c r="AK17" s="46">
        <f>IF(DropINTable!AK16-DropINTable!AK15&lt;0,0,+DropINTable!AK16-DropINTable!AK15)</f>
        <v>91.987262999843551</v>
      </c>
      <c r="AL17" s="46">
        <f>IF(DropINTable!AL16-DropINTable!AL15&lt;0,0,+DropINTable!AL16-DropINTable!AL15)</f>
        <v>92.269431760140378</v>
      </c>
      <c r="AM17" s="46">
        <f>IF(DropINTable!AM16-DropINTable!AM15&lt;0,0,+DropINTable!AM16-DropINTable!AM15)</f>
        <v>92.767424120848318</v>
      </c>
      <c r="AN17" s="46">
        <f>IF(DropINTable!AN16-DropINTable!AN15&lt;0,0,+DropINTable!AN16-DropINTable!AN15)</f>
        <v>93.50387822078892</v>
      </c>
      <c r="AO17" s="46">
        <f>IF(DropINTable!AO16-DropINTable!AO15&lt;0,0,+DropINTable!AO16-DropINTable!AO15)</f>
        <v>93.567249595694648</v>
      </c>
      <c r="AP17" s="46"/>
      <c r="AQ17" s="46"/>
    </row>
    <row r="18" spans="1:43" ht="14.25">
      <c r="A18" t="s">
        <v>1090</v>
      </c>
      <c r="B18" s="46">
        <f>+DropINTable!B17</f>
        <v>1241.02</v>
      </c>
      <c r="C18" s="46">
        <f>+DropINTable!C17</f>
        <v>960.67</v>
      </c>
      <c r="D18" s="373"/>
      <c r="F18" s="47"/>
      <c r="G18" s="47"/>
      <c r="H18" s="47"/>
      <c r="I18" s="47"/>
      <c r="K18" s="46"/>
      <c r="L18" s="46"/>
      <c r="M18" s="46"/>
      <c r="N18" s="46"/>
      <c r="O18" s="46"/>
      <c r="P18" s="46"/>
      <c r="Q18" s="46"/>
      <c r="R18" s="46"/>
      <c r="S18" s="46"/>
      <c r="T18" s="46"/>
      <c r="U18" s="46"/>
      <c r="V18" s="46"/>
      <c r="W18" s="46"/>
      <c r="X18" s="46"/>
      <c r="Y18" s="46"/>
      <c r="Z18" s="46"/>
      <c r="AB18" s="46"/>
      <c r="AC18" s="46"/>
      <c r="AD18" s="46"/>
      <c r="AE18" s="46"/>
      <c r="AF18" s="46"/>
      <c r="AG18" s="46"/>
      <c r="AH18" s="46"/>
      <c r="AI18" s="46"/>
      <c r="AJ18" s="46"/>
      <c r="AK18" s="46"/>
      <c r="AL18" s="46"/>
      <c r="AM18" s="46"/>
      <c r="AN18" s="46"/>
      <c r="AO18" s="46"/>
      <c r="AP18" s="46"/>
      <c r="AQ18" s="46"/>
    </row>
    <row r="19" spans="1:43" ht="14.25">
      <c r="A19" t="s">
        <v>1129</v>
      </c>
      <c r="B19" s="46">
        <f>+DropINTable!B18</f>
        <v>1419.6</v>
      </c>
      <c r="C19" s="46">
        <f>+DropINTable!C18</f>
        <v>1117.79</v>
      </c>
      <c r="D19" s="373"/>
      <c r="E19" t="s">
        <v>1097</v>
      </c>
      <c r="F19" s="47" t="str">
        <f>+DropINTable!F20</f>
        <v>-</v>
      </c>
      <c r="G19" s="47">
        <f>+DropINTable!G20</f>
        <v>370.65827178955078</v>
      </c>
      <c r="H19" s="47"/>
      <c r="I19" s="47"/>
      <c r="J19" t="s">
        <v>1097</v>
      </c>
      <c r="K19" s="46">
        <f>+DropINTable!K20</f>
        <v>395.40589679473902</v>
      </c>
      <c r="L19" s="46"/>
      <c r="M19" s="46">
        <f>+DropINTable!M20</f>
        <v>380.30190860223394</v>
      </c>
      <c r="N19" s="46">
        <f>+DropINTable!N20</f>
        <v>408.19094029136272</v>
      </c>
      <c r="O19" s="46">
        <f>+DropINTable!O20</f>
        <v>397.18078318468986</v>
      </c>
      <c r="P19" s="46">
        <f>+DropINTable!P20</f>
        <v>431.65732268411188</v>
      </c>
      <c r="Q19" s="46">
        <f>+DropINTable!Q20</f>
        <v>374.96885613340498</v>
      </c>
      <c r="R19" s="46">
        <f>+DropINTable!R20</f>
        <v>437.63299350406453</v>
      </c>
      <c r="S19" s="46">
        <f>+DropINTable!S20</f>
        <v>416.93586788378911</v>
      </c>
      <c r="T19" s="46">
        <f>+DropINTable!T20</f>
        <v>374.37234953525171</v>
      </c>
      <c r="U19" s="46">
        <f>+DropINTable!U20</f>
        <v>354.54541400815913</v>
      </c>
      <c r="V19" s="46">
        <f>+DropINTable!V20</f>
        <v>406.63089508202023</v>
      </c>
      <c r="W19" s="46">
        <f>+DropINTable!W20</f>
        <v>410.83550776488875</v>
      </c>
      <c r="X19" s="46">
        <f>+DropINTable!X20</f>
        <v>402.4979114944968</v>
      </c>
      <c r="Y19" s="46">
        <f>+DropINTable!Y20</f>
        <v>421.05349448487482</v>
      </c>
      <c r="Z19" s="46"/>
      <c r="AA19" t="s">
        <v>1097</v>
      </c>
      <c r="AB19" s="46">
        <f>+DropINTable!AB20</f>
        <v>310.89483099867698</v>
      </c>
      <c r="AC19" s="46">
        <f>+DropINTable!AC20</f>
        <v>326.29851272032681</v>
      </c>
      <c r="AD19" s="46">
        <f>+DropINTable!AD20</f>
        <v>341.05737465753998</v>
      </c>
      <c r="AE19" s="46">
        <f>+DropINTable!AE20</f>
        <v>365.95583930203804</v>
      </c>
      <c r="AF19" s="46">
        <f>+DropINTable!AF20</f>
        <v>406.71486302587834</v>
      </c>
      <c r="AG19" s="46">
        <f>+DropINTable!AG20</f>
        <v>469.76696118332421</v>
      </c>
      <c r="AH19" s="46">
        <f>+DropINTable!AH20</f>
        <v>557.1902680951348</v>
      </c>
      <c r="AI19" s="46">
        <f>+DropINTable!AI20</f>
        <v>631.30136956647016</v>
      </c>
      <c r="AJ19" s="46">
        <f>+DropINTable!AJ20</f>
        <v>713.76961082432354</v>
      </c>
      <c r="AK19" s="46">
        <f>+DropINTable!AK20</f>
        <v>762.2381119113943</v>
      </c>
      <c r="AL19" s="46">
        <f>+DropINTable!AL20</f>
        <v>828.37322039507455</v>
      </c>
      <c r="AM19" s="46">
        <f>+DropINTable!AM20</f>
        <v>945.09458852157081</v>
      </c>
      <c r="AN19" s="46">
        <f>+DropINTable!AN20</f>
        <v>1117.706042671394</v>
      </c>
      <c r="AO19" s="46">
        <f>+DropINTable!AO20</f>
        <v>1132.5594370594013</v>
      </c>
      <c r="AP19" s="46"/>
      <c r="AQ19" s="46"/>
    </row>
    <row r="20" spans="1:43" ht="14.25">
      <c r="A20" t="s">
        <v>1130</v>
      </c>
      <c r="B20" s="46">
        <f>+DropINTable!B19</f>
        <v>1598.19</v>
      </c>
      <c r="C20" s="46">
        <f>+DropINTable!C19</f>
        <v>1273.1600000000001</v>
      </c>
      <c r="D20" s="373"/>
      <c r="E20" t="s">
        <v>1186</v>
      </c>
      <c r="F20" s="47" t="str">
        <f>+DropINTable!F21</f>
        <v>-</v>
      </c>
      <c r="G20" s="47">
        <f>+DropINTable!G21-DropINTable!G20</f>
        <v>129.42495727539063</v>
      </c>
      <c r="H20" s="47"/>
      <c r="I20" s="48"/>
      <c r="J20" t="s">
        <v>1186</v>
      </c>
      <c r="K20" s="46">
        <f>+DropINTable!K21-DropINTable!K20</f>
        <v>138.05677667055812</v>
      </c>
      <c r="L20" s="46"/>
      <c r="M20" s="46">
        <f>+DropINTable!M21-DropINTable!M20</f>
        <v>136.77683405366923</v>
      </c>
      <c r="N20" s="46">
        <f>+DropINTable!N21-DropINTable!N20</f>
        <v>136.59162525579598</v>
      </c>
      <c r="O20" s="46">
        <f>+DropINTable!O21-DropINTable!O20</f>
        <v>136.66474317552002</v>
      </c>
      <c r="P20" s="46">
        <f>+DropINTable!P21-DropINTable!P20</f>
        <v>136.43578761647512</v>
      </c>
      <c r="Q20" s="46">
        <f>+DropINTable!Q21-DropINTable!Q20</f>
        <v>136.81225153192099</v>
      </c>
      <c r="R20" s="46">
        <f>+DropINTable!R21-DropINTable!R20</f>
        <v>136.39610335391114</v>
      </c>
      <c r="S20" s="46">
        <f>+DropINTable!S21-DropINTable!S20</f>
        <v>136.53355249300057</v>
      </c>
      <c r="T20" s="46">
        <f>+DropINTable!T21-DropINTable!T20</f>
        <v>136.8162118307535</v>
      </c>
      <c r="U20" s="46">
        <f>+DropINTable!U21-DropINTable!U20</f>
        <v>136.94788112823358</v>
      </c>
      <c r="V20" s="46">
        <f>+DropINTable!V21-DropINTable!V20</f>
        <v>136.60198631045733</v>
      </c>
      <c r="W20" s="46">
        <f>+DropINTable!W21-DropINTable!W20</f>
        <v>136.57406280338677</v>
      </c>
      <c r="X20" s="46">
        <f>+DropINTable!X21-DropINTable!X20</f>
        <v>136.62943346672847</v>
      </c>
      <c r="Y20" s="46">
        <f>+DropINTable!Y21-DropINTable!Y20</f>
        <v>136.50620766067152</v>
      </c>
      <c r="Z20" s="46"/>
      <c r="AA20" t="s">
        <v>1186</v>
      </c>
      <c r="AB20" s="46">
        <f>IF(DropINTable!AB21-DropINTable!AB20&lt;0,0,+DropINTable!AB21-DropINTable!AB20)</f>
        <v>0</v>
      </c>
      <c r="AC20" s="46">
        <f>IF(DropINTable!AC21-DropINTable!AC20&lt;0,0,+DropINTable!AC21-DropINTable!AC20)</f>
        <v>98.61053115512442</v>
      </c>
      <c r="AD20" s="46">
        <f>IF(DropINTable!AD21-DropINTable!AD20&lt;0,0,+DropINTable!AD21-DropINTable!AD20)</f>
        <v>98.512519120526861</v>
      </c>
      <c r="AE20" s="46">
        <f>IF(DropINTable!AE21-DropINTable!AE20&lt;0,0,+DropINTable!AE21-DropINTable!AE20)</f>
        <v>98.347170652680063</v>
      </c>
      <c r="AF20" s="46">
        <f>IF(DropINTable!AF21-DropINTable!AF20&lt;0,0,+DropINTable!AF21-DropINTable!AF20)</f>
        <v>98.076491995694994</v>
      </c>
      <c r="AG20" s="46">
        <f>IF(DropINTable!AG21-DropINTable!AG20&lt;0,0,+DropINTable!AG21-DropINTable!AG20)</f>
        <v>97.657769875982183</v>
      </c>
      <c r="AH20" s="46">
        <f>IF(DropINTable!AH21-DropINTable!AH20&lt;0,0,+DropINTable!AH21-DropINTable!AH20)</f>
        <v>97.077200122870636</v>
      </c>
      <c r="AI20" s="46">
        <f>IF(DropINTable!AI21-DropINTable!AI20&lt;0,0,+DropINTable!AI21-DropINTable!AI20)</f>
        <v>96.585034073733709</v>
      </c>
      <c r="AJ20" s="46">
        <f>IF(DropINTable!AJ21-DropINTable!AJ20&lt;0,0,+DropINTable!AJ21-DropINTable!AJ20)</f>
        <v>96.037367228247717</v>
      </c>
      <c r="AK20" s="46">
        <f>IF(DropINTable!AK21-DropINTable!AK20&lt;0,0,+DropINTable!AK21-DropINTable!AK20)</f>
        <v>95.71549304982193</v>
      </c>
      <c r="AL20" s="46">
        <f>IF(DropINTable!AL21-DropINTable!AL20&lt;0,0,+DropINTable!AL21-DropINTable!AL20)</f>
        <v>95.276296468887949</v>
      </c>
      <c r="AM20" s="46">
        <f>IF(DropINTable!AM21-DropINTable!AM20&lt;0,0,+DropINTable!AM21-DropINTable!AM20)</f>
        <v>94.501161568265616</v>
      </c>
      <c r="AN20" s="46">
        <f>IF(DropINTable!AN21-DropINTable!AN20&lt;0,0,+DropINTable!AN21-DropINTable!AN20)</f>
        <v>93.354861830907794</v>
      </c>
      <c r="AO20" s="46">
        <f>IF(DropINTable!AO21-DropINTable!AO20&lt;0,0,+DropINTable!AO21-DropINTable!AO20)</f>
        <v>93.256223256676776</v>
      </c>
      <c r="AP20" s="46"/>
      <c r="AQ20" s="46"/>
    </row>
    <row r="21" spans="1:43">
      <c r="A21" t="s">
        <v>1097</v>
      </c>
      <c r="B21" s="46">
        <f>+DropINTable!B20</f>
        <v>660.72</v>
      </c>
      <c r="C21" s="46">
        <f>+DropINTable!C20</f>
        <v>444.66</v>
      </c>
      <c r="D21" s="373"/>
      <c r="AP21" s="46"/>
      <c r="AQ21" s="46"/>
    </row>
    <row r="22" spans="1:43">
      <c r="A22" t="s">
        <v>1099</v>
      </c>
      <c r="B22" s="46">
        <f>+DropINTable!B21</f>
        <v>848.24</v>
      </c>
      <c r="C22" s="46">
        <f>+DropINTable!C21</f>
        <v>610.71</v>
      </c>
      <c r="D22" s="373"/>
      <c r="AP22" s="46"/>
      <c r="AQ22" s="46"/>
    </row>
    <row r="23" spans="1:43" ht="28.5">
      <c r="A23" t="s">
        <v>1101</v>
      </c>
      <c r="B23" s="46">
        <f>+DropINTable!B22</f>
        <v>1026.7</v>
      </c>
      <c r="C23" s="46">
        <f>+DropINTable!C22</f>
        <v>767.82</v>
      </c>
      <c r="D23" s="373"/>
      <c r="H23" s="47"/>
      <c r="I23" s="47"/>
      <c r="K23" s="46"/>
      <c r="L23" s="46"/>
      <c r="M23" s="46"/>
      <c r="N23" s="46"/>
      <c r="O23" s="46"/>
      <c r="P23" s="46"/>
      <c r="Q23" s="46"/>
      <c r="R23" s="46"/>
      <c r="S23" s="46"/>
      <c r="T23" s="46"/>
      <c r="U23" s="46"/>
      <c r="V23" s="46"/>
      <c r="W23" s="46"/>
      <c r="X23" s="46"/>
      <c r="Y23" s="46"/>
      <c r="Z23" s="46"/>
      <c r="AA23" s="369" t="s">
        <v>231</v>
      </c>
      <c r="AP23" s="46"/>
      <c r="AQ23" s="46"/>
    </row>
    <row r="24" spans="1:43" ht="14.25">
      <c r="A24" t="s">
        <v>1131</v>
      </c>
      <c r="B24" s="46">
        <f>+DropINTable!B23</f>
        <v>1205.28</v>
      </c>
      <c r="C24" s="46">
        <f>+DropINTable!C23</f>
        <v>924.93</v>
      </c>
      <c r="D24" s="373"/>
      <c r="H24" s="47"/>
      <c r="I24" s="47"/>
      <c r="K24" s="46"/>
      <c r="L24" s="46"/>
      <c r="M24" s="46"/>
      <c r="N24" s="46"/>
      <c r="O24" s="46"/>
      <c r="P24" s="46"/>
      <c r="Q24" s="46"/>
      <c r="R24" s="46"/>
      <c r="S24" s="46"/>
      <c r="T24" s="46"/>
      <c r="U24" s="46"/>
      <c r="V24" s="46"/>
      <c r="W24" s="46"/>
      <c r="X24" s="46"/>
      <c r="Y24" s="46"/>
      <c r="Z24" s="46"/>
      <c r="AA24" t="s">
        <v>1086</v>
      </c>
      <c r="AB24" s="46">
        <f>+DropINTable!AB27</f>
        <v>0</v>
      </c>
      <c r="AC24" s="46">
        <f>+DropINTable!AC27</f>
        <v>583.41654601340917</v>
      </c>
      <c r="AD24" s="46">
        <f>+DropINTable!AD27</f>
        <v>598.1499940811118</v>
      </c>
      <c r="AE24" s="46">
        <f>+DropINTable!AE27</f>
        <v>623.00558465606775</v>
      </c>
      <c r="AF24" s="46">
        <f>+DropINTable!AF27</f>
        <v>663.6944231305489</v>
      </c>
      <c r="AG24" s="46">
        <f>+DropINTable!AG27</f>
        <v>726.63794938900844</v>
      </c>
      <c r="AH24" s="46">
        <f>+DropINTable!AH27</f>
        <v>813.91071830723752</v>
      </c>
      <c r="AI24" s="46">
        <f>+DropINTable!AI27</f>
        <v>887.89420303739394</v>
      </c>
      <c r="AJ24" s="46">
        <f>+DropINTable!AJ27</f>
        <v>970.22043922073999</v>
      </c>
      <c r="AK24" s="46">
        <f>+DropINTable!AK27</f>
        <v>1018.6054793746596</v>
      </c>
      <c r="AL24" s="46">
        <f>+DropINTable!AL27</f>
        <v>1084.626707809917</v>
      </c>
      <c r="AM24" s="46">
        <f>+DropINTable!AM27</f>
        <v>1201.1470871294714</v>
      </c>
      <c r="AN24" s="46">
        <f>+DropINTable!AN27</f>
        <v>1373.4613126351028</v>
      </c>
      <c r="AO24" s="46">
        <f>+DropINTable!AO27</f>
        <v>1388.2891323804145</v>
      </c>
      <c r="AP24" s="46"/>
      <c r="AQ24" s="46"/>
    </row>
    <row r="25" spans="1:43">
      <c r="A25" t="s">
        <v>1132</v>
      </c>
      <c r="B25" s="46">
        <f>+DropINTable!B24</f>
        <v>1383.86</v>
      </c>
      <c r="C25" s="46">
        <f>+DropINTable!C24</f>
        <v>1082.05</v>
      </c>
      <c r="D25" s="373"/>
      <c r="AA25" t="s">
        <v>1186</v>
      </c>
      <c r="AB25" s="46">
        <f>IF(DropINTable!AB28-DropINTable!AB27&lt;0,0,+DropINTable!AB28-DropINTable!AB27)</f>
        <v>0</v>
      </c>
      <c r="AC25" s="46">
        <f>IF(DropINTable!AC28-DropINTable!AC27&lt;0,0,+DropINTable!AC28-DropINTable!AC27)</f>
        <v>0</v>
      </c>
      <c r="AD25" s="46">
        <f>IF(DropINTable!AD28-DropINTable!AD27&lt;0,0,+DropINTable!AD28-DropINTable!AD27)</f>
        <v>89.385549668002</v>
      </c>
      <c r="AE25" s="46">
        <f>IF(DropINTable!AE28-DropINTable!AE27&lt;0,0,+DropINTable!AE28-DropINTable!AE27)</f>
        <v>89.491780336011743</v>
      </c>
      <c r="AF25" s="46">
        <f>IF(DropINTable!AF28-DropINTable!AF27&lt;0,0,+DropINTable!AF28-DropINTable!AF27)</f>
        <v>89.665680132049033</v>
      </c>
      <c r="AG25" s="46">
        <f>IF(DropINTable!AG28-DropINTable!AG27&lt;0,0,+DropINTable!AG28-DropINTable!AG27)</f>
        <v>89.934693847655694</v>
      </c>
      <c r="AH25" s="46">
        <f>IF(DropINTable!AH28-DropINTable!AH27&lt;0,0,+DropINTable!AH28-DropINTable!AH27)</f>
        <v>90.307688809455612</v>
      </c>
      <c r="AI25" s="46">
        <f>IF(DropINTable!AI28-DropINTable!AI27&lt;0,0,+DropINTable!AI28-DropINTable!AI27)</f>
        <v>90.623886261776192</v>
      </c>
      <c r="AJ25" s="46">
        <f>IF(DropINTable!AJ28-DropINTable!AJ27&lt;0,0,+DropINTable!AJ28-DropINTable!AJ27)</f>
        <v>90.975740406764544</v>
      </c>
      <c r="AK25" s="46">
        <f>IF(DropINTable!AK28-DropINTable!AK27&lt;0,0,+DropINTable!AK28-DropINTable!AK27)</f>
        <v>91.182533393399808</v>
      </c>
      <c r="AL25" s="46">
        <f>IF(DropINTable!AL28-DropINTable!AL27&lt;0,0,+DropINTable!AL28-DropINTable!AL27)</f>
        <v>91.464699270527944</v>
      </c>
      <c r="AM25" s="46">
        <f>IF(DropINTable!AM28-DropINTable!AM27&lt;0,0,+DropINTable!AM28-DropINTable!AM27)</f>
        <v>91.962695876251246</v>
      </c>
      <c r="AN25" s="46">
        <f>IF(DropINTable!AN28-DropINTable!AN27&lt;0,0,+DropINTable!AN28-DropINTable!AN27)</f>
        <v>92.699150447140482</v>
      </c>
      <c r="AO25" s="46">
        <f>IF(DropINTable!AO28-DropINTable!AO27&lt;0,0,+DropINTable!AO28-DropINTable!AO27)</f>
        <v>92.762521425418527</v>
      </c>
      <c r="AP25" s="46"/>
      <c r="AQ25" s="46"/>
    </row>
    <row r="26" spans="1:43">
      <c r="B26" s="46"/>
      <c r="C26" s="46"/>
      <c r="D26" s="373"/>
      <c r="AB26" s="46"/>
      <c r="AC26" s="46"/>
      <c r="AD26" s="46"/>
      <c r="AE26" s="46"/>
      <c r="AF26" s="46"/>
      <c r="AG26" s="46"/>
      <c r="AH26" s="46"/>
      <c r="AI26" s="46"/>
      <c r="AJ26" s="46"/>
      <c r="AK26" s="46"/>
      <c r="AL26" s="46"/>
      <c r="AM26" s="46"/>
      <c r="AN26" s="46"/>
      <c r="AO26" s="46"/>
      <c r="AP26" s="46"/>
      <c r="AQ26" s="46"/>
    </row>
    <row r="27" spans="1:43" ht="15">
      <c r="A27" s="372" t="s">
        <v>1133</v>
      </c>
      <c r="B27" s="46"/>
      <c r="C27" s="46"/>
      <c r="F27" s="370"/>
      <c r="H27" s="370"/>
      <c r="J27" s="372"/>
      <c r="AA27" t="s">
        <v>1097</v>
      </c>
      <c r="AB27" s="46">
        <f>+DropINTable!AB32</f>
        <v>295.79084299272802</v>
      </c>
      <c r="AC27" s="46">
        <f>+DropINTable!AC32</f>
        <v>311.19452439164729</v>
      </c>
      <c r="AD27" s="46">
        <f>+DropINTable!AD32</f>
        <v>325.95338638756522</v>
      </c>
      <c r="AE27" s="46">
        <f>+DropINTable!AE32</f>
        <v>350.85185092680712</v>
      </c>
      <c r="AF27" s="46">
        <f>+DropINTable!AF32</f>
        <v>391.6108747763551</v>
      </c>
      <c r="AG27" s="46">
        <f>+DropINTable!AG32</f>
        <v>454.6629723770036</v>
      </c>
      <c r="AH27" s="46">
        <f>+DropINTable!AH32</f>
        <v>542.08627972911233</v>
      </c>
      <c r="AI27" s="46">
        <f>+DropINTable!AI32</f>
        <v>616.1973812706899</v>
      </c>
      <c r="AJ27" s="46">
        <f>+DropINTable!AJ32</f>
        <v>698.6656221413549</v>
      </c>
      <c r="AK27" s="46">
        <f>+DropINTable!AK32</f>
        <v>747.13412341345384</v>
      </c>
      <c r="AL27" s="46">
        <f>+DropINTable!AL32</f>
        <v>813.26923280856863</v>
      </c>
      <c r="AM27" s="46">
        <f>+DropINTable!AM32</f>
        <v>929.99059998251278</v>
      </c>
      <c r="AN27" s="46">
        <f>+DropINTable!AN32</f>
        <v>1102.602054200865</v>
      </c>
      <c r="AO27" s="46">
        <f>+DropINTable!AO32</f>
        <v>1117.4554474307333</v>
      </c>
      <c r="AP27" s="46"/>
      <c r="AQ27" s="46"/>
    </row>
    <row r="28" spans="1:43" ht="14.25">
      <c r="A28" t="s">
        <v>1086</v>
      </c>
      <c r="B28" s="46">
        <f>+DropINTable!B27</f>
        <v>758.88</v>
      </c>
      <c r="C28" s="46">
        <f>+DropINTable!C27</f>
        <v>521.35</v>
      </c>
      <c r="F28" s="47"/>
      <c r="G28" s="47"/>
      <c r="H28" s="47"/>
      <c r="I28" s="47"/>
      <c r="AA28" t="s">
        <v>1186</v>
      </c>
      <c r="AB28" s="46">
        <f>IF(DropINTable!AB33-DropINTable!AB32&lt;0,0,+DropINTable!AB33-DropINTable!AB32)</f>
        <v>0</v>
      </c>
      <c r="AC28" s="46">
        <f>IF(DropINTable!AC33-DropINTable!AC32&lt;0,0,+DropINTable!AC33-DropINTable!AC32)</f>
        <v>97.330590087763028</v>
      </c>
      <c r="AD28" s="46">
        <f>IF(DropINTable!AD33-DropINTable!AD32&lt;0,0,+DropINTable!AD33-DropINTable!AD32)</f>
        <v>97.232577348356585</v>
      </c>
      <c r="AE28" s="46">
        <f>IF(DropINTable!AE33-DropINTable!AE32&lt;0,0,+DropINTable!AE33-DropINTable!AE32)</f>
        <v>97.067229379485582</v>
      </c>
      <c r="AF28" s="46">
        <f>IF(DropINTable!AF33-DropINTable!AF32&lt;0,0,+DropINTable!AF33-DropINTable!AF32)</f>
        <v>96.796549607445684</v>
      </c>
      <c r="AG28" s="46">
        <f>IF(DropINTable!AG33-DropINTable!AG32&lt;0,0,+DropINTable!AG33-DropINTable!AG32)</f>
        <v>96.37782766090595</v>
      </c>
      <c r="AH28" s="46">
        <f>IF(DropINTable!AH33-DropINTable!AH32&lt;0,0,+DropINTable!AH33-DropINTable!AH32)</f>
        <v>95.797255508992635</v>
      </c>
      <c r="AI28" s="46">
        <f>IF(DropINTable!AI33-DropINTable!AI32&lt;0,0,+DropINTable!AI33-DropINTable!AI32)</f>
        <v>95.305089954954724</v>
      </c>
      <c r="AJ28" s="46">
        <f>IF(DropINTable!AJ33-DropINTable!AJ32&lt;0,0,+DropINTable!AJ33-DropINTable!AJ32)</f>
        <v>94.757427009849039</v>
      </c>
      <c r="AK28" s="46">
        <f>IF(DropINTable!AK33-DropINTable!AK32&lt;0,0,+DropINTable!AK33-DropINTable!AK32)</f>
        <v>94.435550869608392</v>
      </c>
      <c r="AL28" s="46">
        <f>IF(DropINTable!AL33-DropINTable!AL32&lt;0,0,+DropINTable!AL33-DropINTable!AL32)</f>
        <v>93.996353054187693</v>
      </c>
      <c r="AM28" s="46">
        <f>IF(DropINTable!AM33-DropINTable!AM32&lt;0,0,+DropINTable!AM33-DropINTable!AM32)</f>
        <v>93.221218056198154</v>
      </c>
      <c r="AN28" s="46">
        <f>IF(DropINTable!AN33-DropINTable!AN32&lt;0,0,+DropINTable!AN33-DropINTable!AN32)</f>
        <v>92.074919219467574</v>
      </c>
      <c r="AO28" s="46">
        <f>IF(DropINTable!AO33-DropINTable!AO32&lt;0,0,+DropINTable!AO33-DropINTable!AO32)</f>
        <v>91.976281803375514</v>
      </c>
      <c r="AP28" s="46"/>
      <c r="AQ28" s="46"/>
    </row>
    <row r="29" spans="1:43" ht="14.25">
      <c r="A29" t="s">
        <v>1088</v>
      </c>
      <c r="B29" s="46">
        <f>+DropINTable!B28</f>
        <v>937.47</v>
      </c>
      <c r="C29" s="46">
        <f>+DropINTable!C28</f>
        <v>678.59</v>
      </c>
      <c r="F29" s="47"/>
      <c r="G29" s="47"/>
      <c r="H29" s="47"/>
      <c r="I29" s="47"/>
      <c r="AP29" s="46"/>
      <c r="AQ29" s="46"/>
    </row>
    <row r="30" spans="1:43" ht="14.25">
      <c r="A30" t="s">
        <v>1090</v>
      </c>
      <c r="B30" s="46">
        <f>+DropINTable!B29</f>
        <v>1116.05</v>
      </c>
      <c r="C30" s="46">
        <f>+DropINTable!C29</f>
        <v>835.7</v>
      </c>
      <c r="F30" s="47"/>
      <c r="G30" s="47"/>
      <c r="H30" s="47"/>
      <c r="I30" s="47"/>
      <c r="AP30" s="46"/>
      <c r="AQ30" s="46"/>
    </row>
    <row r="31" spans="1:43" ht="28.5">
      <c r="A31" t="s">
        <v>1129</v>
      </c>
      <c r="B31" s="46">
        <f>+DropINTable!B30</f>
        <v>1294.6300000000001</v>
      </c>
      <c r="C31" s="46">
        <f>+DropINTable!C30</f>
        <v>992.82</v>
      </c>
      <c r="F31" s="47"/>
      <c r="G31" s="47"/>
      <c r="H31" s="47"/>
      <c r="I31" s="47"/>
      <c r="AA31" s="369" t="s">
        <v>238</v>
      </c>
      <c r="AB31" s="46"/>
      <c r="AC31" s="46"/>
      <c r="AD31" s="46"/>
      <c r="AE31" s="46"/>
      <c r="AF31" s="46"/>
      <c r="AG31" s="46"/>
      <c r="AH31" s="46"/>
      <c r="AI31" s="46"/>
      <c r="AJ31" s="46"/>
      <c r="AK31" s="46"/>
      <c r="AL31" s="46"/>
      <c r="AM31" s="46"/>
      <c r="AN31" s="46"/>
      <c r="AO31" s="46"/>
      <c r="AP31" s="46"/>
      <c r="AQ31" s="46"/>
    </row>
    <row r="32" spans="1:43" ht="15">
      <c r="A32" t="s">
        <v>1130</v>
      </c>
      <c r="B32" s="46">
        <f>+DropINTable!B31</f>
        <v>1473.22</v>
      </c>
      <c r="C32" s="46">
        <f>+DropINTable!C31</f>
        <v>1148.19</v>
      </c>
      <c r="H32" s="49"/>
      <c r="I32" s="50"/>
      <c r="AA32" t="s">
        <v>1086</v>
      </c>
      <c r="AB32" s="46">
        <f>+DropINTable!AB39</f>
        <v>0</v>
      </c>
      <c r="AC32" s="46">
        <f>+DropINTable!AC39</f>
        <v>611.25755423313285</v>
      </c>
      <c r="AD32" s="46">
        <f>+DropINTable!AD39</f>
        <v>625.99100224273559</v>
      </c>
      <c r="AE32" s="46">
        <f>+DropINTable!AE39</f>
        <v>650.84659305009052</v>
      </c>
      <c r="AF32" s="46">
        <f>+DropINTable!AF39</f>
        <v>691.53543158344598</v>
      </c>
      <c r="AG32" s="46">
        <f>+DropINTable!AG39</f>
        <v>754.47895799373975</v>
      </c>
      <c r="AH32" s="46">
        <f>+DropINTable!AH39</f>
        <v>841.75172709788785</v>
      </c>
      <c r="AI32" s="46">
        <f>+DropINTable!AI39</f>
        <v>915.73521237650561</v>
      </c>
      <c r="AJ32" s="46">
        <f>+DropINTable!AJ39</f>
        <v>998.06144750630995</v>
      </c>
      <c r="AK32" s="46">
        <f>+DropINTable!AK39</f>
        <v>1046.4464886146143</v>
      </c>
      <c r="AL32" s="46">
        <f>+DropINTable!AL39</f>
        <v>1112.467716021119</v>
      </c>
      <c r="AM32" s="46">
        <f>+DropINTable!AM39</f>
        <v>1228.9880960905477</v>
      </c>
      <c r="AN32" s="46">
        <f>+DropINTable!AN39</f>
        <v>1401.3023204000992</v>
      </c>
      <c r="AO32" s="46">
        <f>+DropINTable!AO39</f>
        <v>1416.1301396992046</v>
      </c>
      <c r="AP32" s="46"/>
      <c r="AQ32" s="46"/>
    </row>
    <row r="33" spans="1:44" ht="14.25">
      <c r="A33" t="s">
        <v>1097</v>
      </c>
      <c r="B33" s="46">
        <f>+DropINTable!B32</f>
        <v>535.75</v>
      </c>
      <c r="C33" s="46">
        <f>+DropINTable!C32</f>
        <v>319.69</v>
      </c>
      <c r="F33" s="47"/>
      <c r="G33" s="47"/>
      <c r="H33" s="47"/>
      <c r="I33" s="47"/>
      <c r="AA33" t="s">
        <v>1186</v>
      </c>
      <c r="AB33" s="46">
        <f>IF(DropINTable!AB40-DropINTable!AB39&lt;0,0,+DropINTable!AB40-DropINTable!AB39)</f>
        <v>0</v>
      </c>
      <c r="AC33" s="46">
        <f>IF(DropINTable!AC40-DropINTable!AC39&lt;0,0,+DropINTable!AC40-DropINTable!AC39)</f>
        <v>0</v>
      </c>
      <c r="AD33" s="46">
        <f>IF(DropINTable!AD40-DropINTable!AD39&lt;0,0,+DropINTable!AD40-DropINTable!AD39)</f>
        <v>89.504538803711853</v>
      </c>
      <c r="AE33" s="46">
        <f>IF(DropINTable!AE40-DropINTable!AE39&lt;0,0,+DropINTable!AE40-DropINTable!AE39)</f>
        <v>89.61076908246207</v>
      </c>
      <c r="AF33" s="46">
        <f>IF(DropINTable!AF40-DropINTable!AF39&lt;0,0,+DropINTable!AF40-DropINTable!AF39)</f>
        <v>89.784670074509677</v>
      </c>
      <c r="AG33" s="46">
        <f>IF(DropINTable!AG40-DropINTable!AG39&lt;0,0,+DropINTable!AG40-DropINTable!AG39)</f>
        <v>90.053683772733962</v>
      </c>
      <c r="AH33" s="46">
        <f>IF(DropINTable!AH40-DropINTable!AH39&lt;0,0,+DropINTable!AH40-DropINTable!AH39)</f>
        <v>90.426677293730108</v>
      </c>
      <c r="AI33" s="46">
        <f>IF(DropINTable!AI40-DropINTable!AI39&lt;0,0,+DropINTable!AI40-DropINTable!AI39)</f>
        <v>90.74287594546422</v>
      </c>
      <c r="AJ33" s="46">
        <f>IF(DropINTable!AJ40-DropINTable!AJ39&lt;0,0,+DropINTable!AJ40-DropINTable!AJ39)</f>
        <v>91.094730456795446</v>
      </c>
      <c r="AK33" s="46">
        <f>IF(DropINTable!AK40-DropINTable!AK39&lt;0,0,+DropINTable!AK40-DropINTable!AK39)</f>
        <v>91.30152120428329</v>
      </c>
      <c r="AL33" s="46">
        <f>IF(DropINTable!AL40-DropINTable!AL39&lt;0,0,+DropINTable!AL40-DropINTable!AL39)</f>
        <v>91.583690082125713</v>
      </c>
      <c r="AM33" s="46">
        <f>IF(DropINTable!AM40-DropINTable!AM39&lt;0,0,+DropINTable!AM40-DropINTable!AM39)</f>
        <v>92.081686774564332</v>
      </c>
      <c r="AN33" s="46">
        <f>IF(DropINTable!AN40-DropINTable!AN39&lt;0,0,+DropINTable!AN40-DropINTable!AN39)</f>
        <v>92.818139852495051</v>
      </c>
      <c r="AO33" s="46">
        <f>IF(DropINTable!AO40-DropINTable!AO39&lt;0,0,+DropINTable!AO40-DropINTable!AO39)</f>
        <v>92.881512890402291</v>
      </c>
      <c r="AP33" s="46"/>
      <c r="AQ33" s="46"/>
    </row>
    <row r="34" spans="1:44" ht="14.25">
      <c r="A34" t="s">
        <v>1099</v>
      </c>
      <c r="B34" s="46">
        <f>+DropINTable!B33</f>
        <v>723.14</v>
      </c>
      <c r="C34" s="46">
        <f>+DropINTable!C33</f>
        <v>485.74</v>
      </c>
      <c r="F34" s="47"/>
      <c r="G34" s="47"/>
      <c r="H34" s="47"/>
      <c r="I34" s="47"/>
      <c r="AB34" s="46"/>
      <c r="AC34" s="46"/>
      <c r="AD34" s="46"/>
      <c r="AE34" s="46"/>
      <c r="AF34" s="46"/>
      <c r="AG34" s="46"/>
      <c r="AH34" s="46"/>
      <c r="AI34" s="46"/>
      <c r="AJ34" s="46"/>
      <c r="AK34" s="46"/>
      <c r="AL34" s="46"/>
      <c r="AM34" s="46"/>
      <c r="AN34" s="46"/>
      <c r="AO34" s="46"/>
      <c r="AP34" s="46"/>
      <c r="AQ34" s="46"/>
    </row>
    <row r="35" spans="1:44" ht="14.25">
      <c r="A35" t="s">
        <v>1101</v>
      </c>
      <c r="B35" s="46">
        <f>+DropINTable!B34</f>
        <v>901.73</v>
      </c>
      <c r="C35" s="46">
        <f>+DropINTable!C34</f>
        <v>642.85</v>
      </c>
      <c r="F35" s="47"/>
      <c r="G35" s="47"/>
      <c r="H35" s="47"/>
      <c r="I35" s="47"/>
      <c r="AA35" t="s">
        <v>1097</v>
      </c>
      <c r="AB35" s="46">
        <f>+DropINTable!AB44</f>
        <v>323.67987430335984</v>
      </c>
      <c r="AC35" s="46">
        <f>+DropINTable!AC44</f>
        <v>339.08355628369918</v>
      </c>
      <c r="AD35" s="46">
        <f>+DropINTable!AD44</f>
        <v>353.84241842658628</v>
      </c>
      <c r="AE35" s="46">
        <f>+DropINTable!AE44</f>
        <v>378.74088327078181</v>
      </c>
      <c r="AF35" s="46">
        <f>+DropINTable!AF44</f>
        <v>419.499906065841</v>
      </c>
      <c r="AG35" s="46">
        <f>+DropINTable!AG44</f>
        <v>482.55200419073566</v>
      </c>
      <c r="AH35" s="46">
        <f>+DropINTable!AH44</f>
        <v>569.97531144347749</v>
      </c>
      <c r="AI35" s="46">
        <f>+DropINTable!AI44</f>
        <v>644.08641288911463</v>
      </c>
      <c r="AJ35" s="46">
        <f>+DropINTable!AJ44</f>
        <v>726.55465453073009</v>
      </c>
      <c r="AK35" s="46">
        <f>+DropINTable!AK44</f>
        <v>775.02315629623718</v>
      </c>
      <c r="AL35" s="46">
        <f>+DropINTable!AL44</f>
        <v>841.15826380680653</v>
      </c>
      <c r="AM35" s="46">
        <f>+DropINTable!AM44</f>
        <v>957.87963117263189</v>
      </c>
      <c r="AN35" s="46">
        <f>+DropINTable!AN44</f>
        <v>1130.491086137949</v>
      </c>
      <c r="AO35" s="46">
        <f>+DropINTable!AO44</f>
        <v>1145.3444812180985</v>
      </c>
      <c r="AP35" s="46"/>
      <c r="AQ35" s="46"/>
    </row>
    <row r="36" spans="1:44" ht="14.25">
      <c r="A36" t="s">
        <v>1131</v>
      </c>
      <c r="B36" s="46">
        <f>+DropINTable!B35</f>
        <v>1080.31</v>
      </c>
      <c r="C36" s="46">
        <f>+DropINTable!C35</f>
        <v>799.96</v>
      </c>
      <c r="F36" s="47"/>
      <c r="G36" s="47"/>
      <c r="H36" s="47"/>
      <c r="I36" s="47"/>
      <c r="AA36" t="s">
        <v>1186</v>
      </c>
      <c r="AB36" s="46">
        <f>IF(DropINTable!AB45-DropINTable!AB44&lt;0,0,+DropINTable!AB45-DropINTable!AB44)</f>
        <v>0</v>
      </c>
      <c r="AC36" s="46">
        <f>IF(DropINTable!AC45-DropINTable!AC44&lt;0,0,+DropINTable!AC45-DropINTable!AC44)</f>
        <v>97.145379562564415</v>
      </c>
      <c r="AD36" s="46">
        <f>IF(DropINTable!AD45-DropINTable!AD44&lt;0,0,+DropINTable!AD45-DropINTable!AD44)</f>
        <v>97.047366787237934</v>
      </c>
      <c r="AE36" s="46">
        <f>IF(DropINTable!AE45-DropINTable!AE44&lt;0,0,+DropINTable!AE45-DropINTable!AE44)</f>
        <v>96.882018523508577</v>
      </c>
      <c r="AF36" s="46">
        <f>IF(DropINTable!AF45-DropINTable!AF44&lt;0,0,+DropINTable!AF45-DropINTable!AF44)</f>
        <v>96.611343581629228</v>
      </c>
      <c r="AG36" s="46">
        <f>IF(DropINTable!AG45-DropINTable!AG44&lt;0,0,+DropINTable!AG45-DropINTable!AG44)</f>
        <v>96.192620081114626</v>
      </c>
      <c r="AH36" s="46">
        <f>IF(DropINTable!AH45-DropINTable!AH44&lt;0,0,+DropINTable!AH45-DropINTable!AH44)</f>
        <v>95.612047745897826</v>
      </c>
      <c r="AI36" s="46">
        <f>IF(DropINTable!AI45-DropINTable!AI44&lt;0,0,+DropINTable!AI45-DropINTable!AI44)</f>
        <v>95.119882126274206</v>
      </c>
      <c r="AJ36" s="46">
        <f>IF(DropINTable!AJ45-DropINTable!AJ44&lt;0,0,+DropINTable!AJ45-DropINTable!AJ44)</f>
        <v>94.572217723732251</v>
      </c>
      <c r="AK36" s="46">
        <f>IF(DropINTable!AK45-DropINTable!AK44&lt;0,0,+DropINTable!AK45-DropINTable!AK44)</f>
        <v>94.250341493898645</v>
      </c>
      <c r="AL36" s="46">
        <f>IF(DropINTable!AL45-DropINTable!AL44&lt;0,0,+DropINTable!AL45-DropINTable!AL44)</f>
        <v>93.811145966838581</v>
      </c>
      <c r="AM36" s="46">
        <f>IF(DropINTable!AM45-DropINTable!AM44&lt;0,0,+DropINTable!AM45-DropINTable!AM44)</f>
        <v>93.036011180782907</v>
      </c>
      <c r="AN36" s="46">
        <f>IF(DropINTable!AN45-DropINTable!AN44&lt;0,0,+DropINTable!AN45-DropINTable!AN44)</f>
        <v>91.889710708694338</v>
      </c>
      <c r="AO36" s="46">
        <f>IF(DropINTable!AO45-DropINTable!AO44&lt;0,0,+DropINTable!AO45-DropINTable!AO44)</f>
        <v>91.791071280794768</v>
      </c>
      <c r="AP36" s="46"/>
      <c r="AQ36" s="46"/>
    </row>
    <row r="37" spans="1:44" ht="15">
      <c r="A37" t="s">
        <v>1132</v>
      </c>
      <c r="B37" s="46">
        <f>+DropINTable!B36</f>
        <v>1258.8900000000001</v>
      </c>
      <c r="C37" s="46">
        <f>+DropINTable!C36</f>
        <v>957.08</v>
      </c>
      <c r="H37" s="51"/>
      <c r="I37" s="51"/>
      <c r="AP37" s="46"/>
      <c r="AQ37" s="46"/>
    </row>
    <row r="38" spans="1:44" ht="15">
      <c r="F38" s="52"/>
      <c r="G38" s="51"/>
      <c r="H38" s="51"/>
      <c r="I38" s="51"/>
      <c r="J38" s="370"/>
      <c r="AP38" s="46"/>
      <c r="AQ38" s="46"/>
    </row>
    <row r="39" spans="1:44" ht="28.5">
      <c r="J39" s="372"/>
      <c r="K39" s="372"/>
      <c r="AA39" s="369" t="s">
        <v>232</v>
      </c>
      <c r="AB39" s="46"/>
      <c r="AC39" s="46"/>
      <c r="AD39" s="46"/>
      <c r="AE39" s="46"/>
      <c r="AF39" s="46"/>
      <c r="AG39" s="46"/>
      <c r="AH39" s="46"/>
      <c r="AI39" s="46"/>
      <c r="AJ39" s="46"/>
      <c r="AK39" s="46"/>
      <c r="AL39" s="46"/>
      <c r="AM39" s="46"/>
      <c r="AN39" s="46"/>
      <c r="AO39" s="46"/>
      <c r="AP39" s="46"/>
      <c r="AQ39" s="46"/>
    </row>
    <row r="40" spans="1:44">
      <c r="J40" s="370"/>
      <c r="AA40" t="s">
        <v>1086</v>
      </c>
      <c r="AB40" s="46">
        <f>+DropINTable!AB51</f>
        <v>0</v>
      </c>
      <c r="AC40" s="46">
        <f>+DropINTable!AC51</f>
        <v>600.26635653116296</v>
      </c>
      <c r="AD40" s="46">
        <f>+DropINTable!AD51</f>
        <v>614.99980437653721</v>
      </c>
      <c r="AE40" s="46">
        <f>+DropINTable!AE51</f>
        <v>639.85539466331852</v>
      </c>
      <c r="AF40" s="46">
        <f>+DropINTable!AF51</f>
        <v>680.54423314864482</v>
      </c>
      <c r="AG40" s="46">
        <f>+DropINTable!AG51</f>
        <v>743.48775913752183</v>
      </c>
      <c r="AH40" s="46">
        <f>+DropINTable!AH51</f>
        <v>830.76052782954912</v>
      </c>
      <c r="AI40" s="46">
        <f>+DropINTable!AI51</f>
        <v>904.74401446537684</v>
      </c>
      <c r="AJ40" s="46">
        <f>+DropINTable!AJ51</f>
        <v>987.07024802726278</v>
      </c>
      <c r="AK40" s="46">
        <f>+DropINTable!AK51</f>
        <v>1035.4552897614951</v>
      </c>
      <c r="AL40" s="46">
        <f>+DropINTable!AL51</f>
        <v>1101.4765179798469</v>
      </c>
      <c r="AM40" s="46">
        <f>+DropINTable!AM51</f>
        <v>1217.9968972560202</v>
      </c>
      <c r="AN40" s="46">
        <f>+DropINTable!AN51</f>
        <v>1390.3111232450415</v>
      </c>
      <c r="AO40" s="46">
        <f>+DropINTable!AO51</f>
        <v>1405.1389413542647</v>
      </c>
      <c r="AP40" s="46"/>
      <c r="AQ40" s="46"/>
      <c r="AR40" s="46"/>
    </row>
    <row r="41" spans="1:44" ht="15">
      <c r="B41" s="46"/>
      <c r="C41" s="46"/>
      <c r="J41" s="372"/>
      <c r="AA41" t="s">
        <v>1186</v>
      </c>
      <c r="AB41" s="46">
        <f>IF(DropINTable!AB52-DropINTable!AB51&lt;0,0,+DropINTable!AB52-DropINTable!AB51)</f>
        <v>0</v>
      </c>
      <c r="AC41" s="46">
        <f>IF(DropINTable!AC52-DropINTable!AC51&lt;0,0,+DropINTable!AC52-DropINTable!AC51)</f>
        <v>0</v>
      </c>
      <c r="AD41" s="46">
        <f>IF(DropINTable!AD52-DropINTable!AD51&lt;0,0,+DropINTable!AD52-DropINTable!AD51)</f>
        <v>89.457563994704401</v>
      </c>
      <c r="AE41" s="46">
        <f>IF(DropINTable!AE52-DropINTable!AE51&lt;0,0,+DropINTable!AE52-DropINTable!AE51)</f>
        <v>89.563794024664617</v>
      </c>
      <c r="AF41" s="46">
        <f>IF(DropINTable!AF52-DropINTable!AF51&lt;0,0,+DropINTable!AF52-DropINTable!AF51)</f>
        <v>89.737693481196288</v>
      </c>
      <c r="AG41" s="46">
        <f>IF(DropINTable!AG52-DropINTable!AG51&lt;0,0,+DropINTable!AG52-DropINTable!AG51)</f>
        <v>90.006709318834282</v>
      </c>
      <c r="AH41" s="46">
        <f>IF(DropINTable!AH52-DropINTable!AH51&lt;0,0,+DropINTable!AH52-DropINTable!AH51)</f>
        <v>90.379703550733439</v>
      </c>
      <c r="AI41" s="46">
        <f>IF(DropINTable!AI52-DropINTable!AI51&lt;0,0,+DropINTable!AI52-DropINTable!AI51)</f>
        <v>90.695900621171063</v>
      </c>
      <c r="AJ41" s="46">
        <f>IF(DropINTable!AJ52-DropINTable!AJ51&lt;0,0,+DropINTable!AJ52-DropINTable!AJ51)</f>
        <v>91.047755535170609</v>
      </c>
      <c r="AK41" s="46">
        <f>IF(DropINTable!AK52-DropINTable!AK51&lt;0,0,+DropINTable!AK52-DropINTable!AK51)</f>
        <v>91.254547628691853</v>
      </c>
      <c r="AL41" s="46">
        <f>IF(DropINTable!AL52-DropINTable!AL51&lt;0,0,+DropINTable!AL52-DropINTable!AL51)</f>
        <v>91.536714499559139</v>
      </c>
      <c r="AM41" s="46">
        <f>IF(DropINTable!AM52-DropINTable!AM51&lt;0,0,+DropINTable!AM52-DropINTable!AM51)</f>
        <v>92.034711716348966</v>
      </c>
      <c r="AN41" s="46">
        <f>IF(DropINTable!AN52-DropINTable!AN51&lt;0,0,+DropINTable!AN52-DropINTable!AN51)</f>
        <v>92.771161979438602</v>
      </c>
      <c r="AO41" s="46">
        <f>IF(DropINTable!AO52-DropINTable!AO51&lt;0,0,+DropINTable!AO52-DropINTable!AO51)</f>
        <v>92.834537163330424</v>
      </c>
      <c r="AP41" s="46"/>
      <c r="AQ41" s="46"/>
      <c r="AR41" s="46"/>
    </row>
    <row r="42" spans="1:44">
      <c r="B42" s="46"/>
      <c r="C42" s="46"/>
      <c r="K42" s="380"/>
      <c r="AB42" s="46"/>
      <c r="AC42" s="46"/>
      <c r="AD42" s="46"/>
      <c r="AE42" s="46"/>
      <c r="AF42" s="46"/>
      <c r="AG42" s="46"/>
      <c r="AH42" s="46"/>
      <c r="AI42" s="46"/>
      <c r="AJ42" s="46"/>
      <c r="AK42" s="46"/>
      <c r="AL42" s="46"/>
      <c r="AM42" s="46"/>
      <c r="AN42" s="46"/>
      <c r="AO42" s="46"/>
      <c r="AP42" s="46"/>
      <c r="AQ42" s="46"/>
      <c r="AR42" s="46"/>
    </row>
    <row r="43" spans="1:44">
      <c r="B43" s="46"/>
      <c r="C43" s="46"/>
      <c r="K43" s="380"/>
      <c r="AA43" t="s">
        <v>1097</v>
      </c>
      <c r="AB43" s="46">
        <f>+DropINTable!AB56</f>
        <v>312.66971696548228</v>
      </c>
      <c r="AC43" s="46">
        <f>+DropINTable!AC56</f>
        <v>328.07339901500308</v>
      </c>
      <c r="AD43" s="46">
        <f>+DropINTable!AD56</f>
        <v>342.83226102310766</v>
      </c>
      <c r="AE43" s="46">
        <f>+DropINTable!AE56</f>
        <v>367.73072562659536</v>
      </c>
      <c r="AF43" s="46">
        <f>+DropINTable!AF56</f>
        <v>408.48974902470911</v>
      </c>
      <c r="AG43" s="46">
        <f>+DropINTable!AG56</f>
        <v>471.54184767898971</v>
      </c>
      <c r="AH43" s="46">
        <f>+DropINTable!AH56</f>
        <v>558.96515472100509</v>
      </c>
      <c r="AI43" s="46">
        <f>+DropINTable!AI56</f>
        <v>633.07625581714467</v>
      </c>
      <c r="AJ43" s="46">
        <f>+DropINTable!AJ56</f>
        <v>715.54449708527738</v>
      </c>
      <c r="AK43" s="46">
        <f>+DropINTable!AK56</f>
        <v>764.01299802843732</v>
      </c>
      <c r="AL43" s="46">
        <f>+DropINTable!AL56</f>
        <v>830.14810681364497</v>
      </c>
      <c r="AM43" s="46">
        <f>+DropINTable!AM56</f>
        <v>946.86947496755272</v>
      </c>
      <c r="AN43" s="46">
        <f>+DropINTable!AN56</f>
        <v>1119.4809290831115</v>
      </c>
      <c r="AO43" s="46">
        <f>+DropINTable!AO56</f>
        <v>1134.3343238617335</v>
      </c>
      <c r="AP43" s="46"/>
      <c r="AQ43" s="46"/>
      <c r="AR43" s="46"/>
    </row>
    <row r="44" spans="1:44">
      <c r="B44" s="46"/>
      <c r="C44" s="46"/>
      <c r="K44" s="380"/>
      <c r="AA44" t="s">
        <v>1186</v>
      </c>
      <c r="AB44" s="46">
        <f>IF(DropINTable!AB57-DropINTable!AB56&lt;0,0,+DropINTable!AB57-DropINTable!AB56)</f>
        <v>0</v>
      </c>
      <c r="AC44" s="46">
        <f>IF(DropINTable!AC57-DropINTable!AC56&lt;0,0,+DropINTable!AC57-DropINTable!AC56)</f>
        <v>97.218498048126946</v>
      </c>
      <c r="AD44" s="46">
        <f>IF(DropINTable!AD57-DropINTable!AD56&lt;0,0,+DropINTable!AD57-DropINTable!AD56)</f>
        <v>97.120485609490572</v>
      </c>
      <c r="AE44" s="46">
        <f>IF(DropINTable!AE57-DropINTable!AE56&lt;0,0,+DropINTable!AE57-DropINTable!AE56)</f>
        <v>96.955136667789645</v>
      </c>
      <c r="AF44" s="46">
        <f>IF(DropINTable!AF57-DropINTable!AF56&lt;0,0,+DropINTable!AF57-DropINTable!AF56)</f>
        <v>96.684460093127143</v>
      </c>
      <c r="AG44" s="46">
        <f>IF(DropINTable!AG57-DropINTable!AG56&lt;0,0,+DropINTable!AG57-DropINTable!AG56)</f>
        <v>96.265734892162641</v>
      </c>
      <c r="AH44" s="46">
        <f>IF(DropINTable!AH57-DropINTable!AH56&lt;0,0,+DropINTable!AH57-DropINTable!AH56)</f>
        <v>95.685165069418531</v>
      </c>
      <c r="AI44" s="46">
        <f>IF(DropINTable!AI57-DropINTable!AI56&lt;0,0,+DropINTable!AI57-DropINTable!AI56)</f>
        <v>95.193000364633804</v>
      </c>
      <c r="AJ44" s="46">
        <f>IF(DropINTable!AJ57-DropINTable!AJ56&lt;0,0,+DropINTable!AJ57-DropINTable!AJ56)</f>
        <v>94.645336012522307</v>
      </c>
      <c r="AK44" s="46">
        <f>IF(DropINTable!AK57-DropINTable!AK56&lt;0,0,+DropINTable!AK57-DropINTable!AK56)</f>
        <v>94.323459797405576</v>
      </c>
      <c r="AL44" s="46">
        <f>IF(DropINTable!AL57-DropINTable!AL56&lt;0,0,+DropINTable!AL57-DropINTable!AL56)</f>
        <v>93.884262914944202</v>
      </c>
      <c r="AM44" s="46">
        <f>IF(DropINTable!AM57-DropINTable!AM56&lt;0,0,+DropINTable!AM57-DropINTable!AM56)</f>
        <v>93.10912726004301</v>
      </c>
      <c r="AN44" s="46">
        <f>IF(DropINTable!AN57-DropINTable!AN56&lt;0,0,+DropINTable!AN57-DropINTable!AN56)</f>
        <v>91.962827718475864</v>
      </c>
      <c r="AO44" s="46">
        <f>IF(DropINTable!AO57-DropINTable!AO56&lt;0,0,+DropINTable!AO57-DropINTable!AO56)</f>
        <v>91.864188107525706</v>
      </c>
      <c r="AP44" s="46"/>
      <c r="AQ44" s="46"/>
      <c r="AR44" s="46"/>
    </row>
    <row r="45" spans="1:44">
      <c r="B45" s="46"/>
      <c r="C45" s="46"/>
      <c r="K45" s="380"/>
      <c r="AP45" s="46"/>
      <c r="AQ45" s="46"/>
      <c r="AR45" s="46"/>
    </row>
    <row r="46" spans="1:44">
      <c r="B46" s="46"/>
      <c r="C46" s="46"/>
      <c r="K46" s="380"/>
      <c r="AP46" s="46"/>
      <c r="AQ46" s="46"/>
      <c r="AR46" s="46"/>
    </row>
    <row r="47" spans="1:44" ht="28.5">
      <c r="B47" s="46"/>
      <c r="C47" s="46"/>
      <c r="K47" s="380"/>
      <c r="AA47" s="369" t="s">
        <v>239</v>
      </c>
      <c r="AB47" s="46"/>
      <c r="AC47" s="46"/>
      <c r="AD47" s="46"/>
      <c r="AE47" s="46"/>
      <c r="AF47" s="46"/>
      <c r="AG47" s="46"/>
      <c r="AH47" s="46"/>
      <c r="AI47" s="46"/>
      <c r="AJ47" s="46"/>
      <c r="AK47" s="46"/>
      <c r="AL47" s="46"/>
      <c r="AM47" s="46"/>
      <c r="AN47" s="46"/>
      <c r="AO47" s="46"/>
      <c r="AP47" s="46"/>
      <c r="AQ47" s="46"/>
      <c r="AR47" s="46"/>
    </row>
    <row r="48" spans="1:44">
      <c r="B48" s="46"/>
      <c r="C48" s="46"/>
      <c r="K48" s="380"/>
      <c r="AA48" t="s">
        <v>1086</v>
      </c>
      <c r="AB48" s="46">
        <f>+DropINTable!AB63</f>
        <v>0</v>
      </c>
      <c r="AC48" s="46">
        <f>+DropINTable!AC63</f>
        <v>634.68352900776608</v>
      </c>
      <c r="AD48" s="46">
        <f>+DropINTable!AD63</f>
        <v>649.41697698793166</v>
      </c>
      <c r="AE48" s="46">
        <f>+DropINTable!AE63</f>
        <v>674.27256723443031</v>
      </c>
      <c r="AF48" s="46">
        <f>+DropINTable!AF63</f>
        <v>714.96140606370716</v>
      </c>
      <c r="AG48" s="46">
        <f>+DropINTable!AG63</f>
        <v>777.90493237794271</v>
      </c>
      <c r="AH48" s="46">
        <f>+DropINTable!AH63</f>
        <v>865.17770128997438</v>
      </c>
      <c r="AI48" s="46">
        <f>+DropINTable!AI63</f>
        <v>939.16118656549361</v>
      </c>
      <c r="AJ48" s="46">
        <f>+DropINTable!AJ63</f>
        <v>1021.487422203477</v>
      </c>
      <c r="AK48" s="46">
        <f>+DropINTable!AK63</f>
        <v>1069.8724619607688</v>
      </c>
      <c r="AL48" s="46">
        <f>+DropINTable!AL63</f>
        <v>1135.8936905261696</v>
      </c>
      <c r="AM48" s="46">
        <f>+DropINTable!AM63</f>
        <v>1252.4140707939121</v>
      </c>
      <c r="AN48" s="46">
        <f>+DropINTable!AN63</f>
        <v>1424.7282959215081</v>
      </c>
      <c r="AO48" s="46">
        <f>+DropINTable!AO63</f>
        <v>1439.5561152206133</v>
      </c>
      <c r="AP48" s="46"/>
      <c r="AQ48" s="46"/>
      <c r="AR48" s="46"/>
    </row>
    <row r="49" spans="2:44">
      <c r="B49" s="46"/>
      <c r="C49" s="46"/>
      <c r="K49" s="380"/>
      <c r="AA49" t="s">
        <v>1186</v>
      </c>
      <c r="AB49" s="46">
        <f>IF(DropINTable!AB64-DropINTable!AB63&lt;0,0,+DropINTable!AB64-DropINTable!AB63)</f>
        <v>0</v>
      </c>
      <c r="AC49" s="46">
        <f>IF(DropINTable!AC64-DropINTable!AC63&lt;0,0,+DropINTable!AC64-DropINTable!AC63)</f>
        <v>0</v>
      </c>
      <c r="AD49" s="46">
        <f>IF(DropINTable!AD64-DropINTable!AD63&lt;0,0,+DropINTable!AD64-DropINTable!AD63)</f>
        <v>89.604658126511822</v>
      </c>
      <c r="AE49" s="46">
        <f>IF(DropINTable!AE64-DropINTable!AE63&lt;0,0,+DropINTable!AE64-DropINTable!AE63)</f>
        <v>89.710889324656932</v>
      </c>
      <c r="AF49" s="46">
        <f>IF(DropINTable!AF64-DropINTable!AF63&lt;0,0,+DropINTable!AF64-DropINTable!AF63)</f>
        <v>89.884789901270096</v>
      </c>
      <c r="AG49" s="46">
        <f>IF(DropINTable!AG64-DropINTable!AG63&lt;0,0,+DropINTable!AG64-DropINTable!AG63)</f>
        <v>90.153802963536577</v>
      </c>
      <c r="AH49" s="46">
        <f>IF(DropINTable!AH64-DropINTable!AH63&lt;0,0,+DropINTable!AH64-DropINTable!AH63)</f>
        <v>90.526798573915357</v>
      </c>
      <c r="AI49" s="46">
        <f>IF(DropINTable!AI64-DropINTable!AI63&lt;0,0,+DropINTable!AI64-DropINTable!AI63)</f>
        <v>90.842996138193485</v>
      </c>
      <c r="AJ49" s="46">
        <f>IF(DropINTable!AJ64-DropINTable!AJ63&lt;0,0,+DropINTable!AJ64-DropINTable!AJ63)</f>
        <v>91.194848946217576</v>
      </c>
      <c r="AK49" s="46">
        <f>IF(DropINTable!AK64-DropINTable!AK63&lt;0,0,+DropINTable!AK64-DropINTable!AK63)</f>
        <v>91.401642897166539</v>
      </c>
      <c r="AL49" s="46">
        <f>IF(DropINTable!AL64-DropINTable!AL63&lt;0,0,+DropINTable!AL64-DropINTable!AL63)</f>
        <v>91.683810048426722</v>
      </c>
      <c r="AM49" s="46">
        <f>IF(DropINTable!AM64-DropINTable!AM63&lt;0,0,+DropINTable!AM64-DropINTable!AM63)</f>
        <v>92.181805974866165</v>
      </c>
      <c r="AN49" s="46">
        <f>IF(DropINTable!AN64-DropINTable!AN63&lt;0,0,+DropINTable!AN64-DropINTable!AN63)</f>
        <v>92.918259848175239</v>
      </c>
      <c r="AO49" s="46">
        <f>IF(DropINTable!AO64-DropINTable!AO63&lt;0,0,+DropINTable!AO64-DropINTable!AO63)</f>
        <v>92.981631870223964</v>
      </c>
      <c r="AP49" s="46"/>
      <c r="AQ49" s="46"/>
      <c r="AR49" s="46"/>
    </row>
    <row r="50" spans="2:44">
      <c r="B50" s="46"/>
      <c r="C50" s="46"/>
      <c r="K50" s="380"/>
      <c r="AB50" s="46"/>
      <c r="AC50" s="46"/>
      <c r="AD50" s="46"/>
      <c r="AE50" s="46"/>
      <c r="AF50" s="46"/>
      <c r="AG50" s="46"/>
      <c r="AH50" s="46"/>
      <c r="AI50" s="46"/>
      <c r="AJ50" s="46"/>
      <c r="AK50" s="46"/>
      <c r="AL50" s="46"/>
      <c r="AM50" s="46"/>
      <c r="AN50" s="46"/>
      <c r="AO50" s="46"/>
      <c r="AP50" s="46"/>
      <c r="AQ50" s="46"/>
      <c r="AR50" s="46"/>
    </row>
    <row r="51" spans="2:44">
      <c r="K51" s="380"/>
      <c r="AA51" t="s">
        <v>1097</v>
      </c>
      <c r="AB51" s="46">
        <f>+DropINTable!AB68</f>
        <v>347.14625675456119</v>
      </c>
      <c r="AC51" s="46">
        <f>+DropINTable!AC68</f>
        <v>362.54993863392571</v>
      </c>
      <c r="AD51" s="46">
        <f>+DropINTable!AD68</f>
        <v>377.30880068575101</v>
      </c>
      <c r="AE51" s="46">
        <f>+DropINTable!AE68</f>
        <v>402.20726523013258</v>
      </c>
      <c r="AF51" s="46">
        <f>+DropINTable!AF68</f>
        <v>442.96628894090946</v>
      </c>
      <c r="AG51" s="46">
        <f>+DropINTable!AG68</f>
        <v>506.01838637194879</v>
      </c>
      <c r="AH51" s="46">
        <f>+DropINTable!AH68</f>
        <v>593.44169355102201</v>
      </c>
      <c r="AI51" s="46">
        <f>+DropINTable!AI68</f>
        <v>667.55279541468553</v>
      </c>
      <c r="AJ51" s="46">
        <f>+DropINTable!AJ68</f>
        <v>750.02103592214735</v>
      </c>
      <c r="AK51" s="46">
        <f>+DropINTable!AK68</f>
        <v>798.48953805771066</v>
      </c>
      <c r="AL51" s="46">
        <f>+DropINTable!AL68</f>
        <v>864.62464656194959</v>
      </c>
      <c r="AM51" s="46">
        <f>+DropINTable!AM68</f>
        <v>981.34601440747701</v>
      </c>
      <c r="AN51" s="46">
        <f>+DropINTable!AN68</f>
        <v>1153.9574685778589</v>
      </c>
      <c r="AO51" s="46">
        <f>+DropINTable!AO68</f>
        <v>1168.8108630960712</v>
      </c>
      <c r="AP51" s="46"/>
      <c r="AQ51" s="46"/>
      <c r="AR51" s="46"/>
    </row>
    <row r="52" spans="2:44">
      <c r="K52" s="380"/>
      <c r="AA52" t="s">
        <v>1186</v>
      </c>
      <c r="AB52" s="46">
        <f>IF(DropINTable!AB69-DropINTable!AB68&lt;0,0,+DropINTable!AB69-DropINTable!AB68)</f>
        <v>0</v>
      </c>
      <c r="AC52" s="46">
        <f>IF(DropINTable!AC69-DropINTable!AC68&lt;0,0,+DropINTable!AC69-DropINTable!AC68)</f>
        <v>96.989541208612934</v>
      </c>
      <c r="AD52" s="46">
        <f>IF(DropINTable!AD69-DropINTable!AD68&lt;0,0,+DropINTable!AD69-DropINTable!AD68)</f>
        <v>96.891528897877208</v>
      </c>
      <c r="AE52" s="46">
        <f>IF(DropINTable!AE69-DropINTable!AE68&lt;0,0,+DropINTable!AE69-DropINTable!AE68)</f>
        <v>96.72618075224517</v>
      </c>
      <c r="AF52" s="46">
        <f>IF(DropINTable!AF69-DropINTable!AF68&lt;0,0,+DropINTable!AF69-DropINTable!AF68)</f>
        <v>96.455501987178934</v>
      </c>
      <c r="AG52" s="46">
        <f>IF(DropINTable!AG69-DropINTable!AG68&lt;0,0,+DropINTable!AG69-DropINTable!AG68)</f>
        <v>96.03678111883238</v>
      </c>
      <c r="AH52" s="46">
        <f>IF(DropINTable!AH69-DropINTable!AH68&lt;0,0,+DropINTable!AH69-DropINTable!AH68)</f>
        <v>95.456210068729433</v>
      </c>
      <c r="AI52" s="46">
        <f>IF(DropINTable!AI69-DropINTable!AI68&lt;0,0,+DropINTable!AI69-DropINTable!AI68)</f>
        <v>94.964044596420877</v>
      </c>
      <c r="AJ52" s="46">
        <f>IF(DropINTable!AJ69-DropINTable!AJ68&lt;0,0,+DropINTable!AJ69-DropINTable!AJ68)</f>
        <v>94.416379228193819</v>
      </c>
      <c r="AK52" s="46">
        <f>IF(DropINTable!AK69-DropINTable!AK68&lt;0,0,+DropINTable!AK69-DropINTable!AK68)</f>
        <v>94.094502789829903</v>
      </c>
      <c r="AL52" s="46">
        <f>IF(DropINTable!AL69-DropINTable!AL68&lt;0,0,+DropINTable!AL69-DropINTable!AL68)</f>
        <v>93.655306026811218</v>
      </c>
      <c r="AM52" s="46">
        <f>IF(DropINTable!AM69-DropINTable!AM68&lt;0,0,+DropINTable!AM69-DropINTable!AM68)</f>
        <v>92.880171568683636</v>
      </c>
      <c r="AN52" s="46">
        <f>IF(DropINTable!AN69-DropINTable!AN68&lt;0,0,+DropINTable!AN69-DropINTable!AN68)</f>
        <v>91.733872214582561</v>
      </c>
      <c r="AO52" s="46">
        <f>IF(DropINTable!AO69-DropINTable!AO68&lt;0,0,+DropINTable!AO69-DropINTable!AO68)</f>
        <v>91.635232864041882</v>
      </c>
      <c r="AP52" s="46"/>
      <c r="AQ52" s="46"/>
      <c r="AR52" s="46"/>
    </row>
    <row r="53" spans="2:44">
      <c r="K53" s="380"/>
      <c r="AP53" s="46"/>
      <c r="AQ53" s="46"/>
      <c r="AR53" s="46"/>
    </row>
    <row r="54" spans="2:44">
      <c r="K54" s="380"/>
      <c r="AP54" s="46"/>
      <c r="AQ54" s="46"/>
      <c r="AR54" s="46"/>
    </row>
    <row r="55" spans="2:44" ht="28.5">
      <c r="K55" s="380"/>
      <c r="M55" s="46"/>
      <c r="N55" s="46"/>
      <c r="O55" s="46"/>
      <c r="P55" s="46"/>
      <c r="Q55" s="46"/>
      <c r="R55" s="46"/>
      <c r="S55" s="46"/>
      <c r="T55" s="46"/>
      <c r="U55" s="46"/>
      <c r="AA55" s="369" t="s">
        <v>230</v>
      </c>
      <c r="AB55" s="46"/>
      <c r="AC55" s="46"/>
      <c r="AD55" s="46"/>
      <c r="AE55" s="46"/>
      <c r="AF55" s="46"/>
      <c r="AG55" s="46"/>
      <c r="AH55" s="46"/>
      <c r="AI55" s="46"/>
      <c r="AJ55" s="46"/>
      <c r="AK55" s="46"/>
      <c r="AL55" s="46"/>
      <c r="AM55" s="46"/>
      <c r="AN55" s="46"/>
      <c r="AO55" s="46"/>
      <c r="AP55" s="46"/>
      <c r="AQ55" s="46"/>
      <c r="AR55" s="46"/>
    </row>
    <row r="56" spans="2:44">
      <c r="K56" s="380"/>
      <c r="M56" s="46"/>
      <c r="N56" s="46"/>
      <c r="O56" s="46"/>
      <c r="P56" s="46"/>
      <c r="Q56" s="46"/>
      <c r="R56" s="46"/>
      <c r="S56" s="46"/>
      <c r="T56" s="46"/>
      <c r="U56" s="46"/>
      <c r="AA56" t="s">
        <v>1086</v>
      </c>
      <c r="AB56" s="46">
        <f>+DropINTable!AB75</f>
        <v>0</v>
      </c>
      <c r="AC56" s="46">
        <f>+DropINTable!AC75</f>
        <v>578.09267713550048</v>
      </c>
      <c r="AD56" s="46">
        <f>+DropINTable!AD75</f>
        <v>592.82612507848228</v>
      </c>
      <c r="AE56" s="46">
        <f>+DropINTable!AE75</f>
        <v>617.68171530793848</v>
      </c>
      <c r="AF56" s="46">
        <f>+DropINTable!AF75</f>
        <v>658.37055436806486</v>
      </c>
      <c r="AG56" s="46">
        <f>+DropINTable!AG75</f>
        <v>721.31407964580092</v>
      </c>
      <c r="AH56" s="46">
        <f>+DropINTable!AH75</f>
        <v>808.58684850825432</v>
      </c>
      <c r="AI56" s="46">
        <f>+DropINTable!AI75</f>
        <v>882.57033465759343</v>
      </c>
      <c r="AJ56" s="46">
        <f>+DropINTable!AJ75</f>
        <v>964.89656992373841</v>
      </c>
      <c r="AK56" s="46">
        <f>+DropINTable!AK75</f>
        <v>1013.2816111312</v>
      </c>
      <c r="AL56" s="46">
        <f>+DropINTable!AL75</f>
        <v>1079.3028374097951</v>
      </c>
      <c r="AM56" s="46">
        <f>+DropINTable!AM75</f>
        <v>1195.8232186691064</v>
      </c>
      <c r="AN56" s="46">
        <f>+DropINTable!AN75</f>
        <v>1368.1374453088447</v>
      </c>
      <c r="AO56" s="46">
        <f>+DropINTable!AO75</f>
        <v>1382.965262885099</v>
      </c>
      <c r="AP56" s="46"/>
      <c r="AQ56" s="46"/>
      <c r="AR56" s="46"/>
    </row>
    <row r="57" spans="2:44">
      <c r="K57" s="380"/>
      <c r="AA57" t="s">
        <v>1186</v>
      </c>
      <c r="AB57" s="46">
        <f>IF(DropINTable!AB76-DropINTable!AB75&lt;0,0,+DropINTable!AB76-DropINTable!AB75)</f>
        <v>0</v>
      </c>
      <c r="AC57" s="46">
        <f>IF(DropINTable!AC76-DropINTable!AC75&lt;0,0,+DropINTable!AC76-DropINTable!AC75)</f>
        <v>0</v>
      </c>
      <c r="AD57" s="46">
        <f>IF(DropINTable!AD76-DropINTable!AD75&lt;0,0,+DropINTable!AD76-DropINTable!AD75)</f>
        <v>89.362795174638677</v>
      </c>
      <c r="AE57" s="46">
        <f>IF(DropINTable!AE76-DropINTable!AE75&lt;0,0,+DropINTable!AE76-DropINTable!AE75)</f>
        <v>89.469026240435028</v>
      </c>
      <c r="AF57" s="46">
        <f>IF(DropINTable!AF76-DropINTable!AF75&lt;0,0,+DropINTable!AF76-DropINTable!AF75)</f>
        <v>89.642926504033767</v>
      </c>
      <c r="AG57" s="46">
        <f>IF(DropINTable!AG76-DropINTable!AG75&lt;0,0,+DropINTable!AG76-DropINTable!AG75)</f>
        <v>89.911939437549904</v>
      </c>
      <c r="AH57" s="46">
        <f>IF(DropINTable!AH76-DropINTable!AH75&lt;0,0,+DropINTable!AH76-DropINTable!AH75)</f>
        <v>90.28493369323121</v>
      </c>
      <c r="AI57" s="46">
        <f>IF(DropINTable!AI76-DropINTable!AI75&lt;0,0,+DropINTable!AI76-DropINTable!AI75)</f>
        <v>90.601131773025941</v>
      </c>
      <c r="AJ57" s="46">
        <f>IF(DropINTable!AJ76-DropINTable!AJ75&lt;0,0,+DropINTable!AJ76-DropINTable!AJ75)</f>
        <v>90.952985879112816</v>
      </c>
      <c r="AK57" s="46">
        <f>IF(DropINTable!AK76-DropINTable!AK75&lt;0,0,+DropINTable!AK76-DropINTable!AK75)</f>
        <v>91.159779754289275</v>
      </c>
      <c r="AL57" s="46">
        <f>IF(DropINTable!AL76-DropINTable!AL75&lt;0,0,+DropINTable!AL76-DropINTable!AL75)</f>
        <v>91.441949281989992</v>
      </c>
      <c r="AM57" s="46">
        <f>IF(DropINTable!AM76-DropINTable!AM75&lt;0,0,+DropINTable!AM76-DropINTable!AM75)</f>
        <v>91.939941796725634</v>
      </c>
      <c r="AN57" s="46">
        <f>IF(DropINTable!AN76-DropINTable!AN75&lt;0,0,+DropINTable!AN76-DropINTable!AN75)</f>
        <v>92.67639565180275</v>
      </c>
      <c r="AO57" s="46">
        <f>IF(DropINTable!AO76-DropINTable!AO75&lt;0,0,+DropINTable!AO76-DropINTable!AO75)</f>
        <v>92.739767185714982</v>
      </c>
      <c r="AP57" s="46"/>
      <c r="AQ57" s="46"/>
      <c r="AR57" s="46"/>
    </row>
    <row r="58" spans="2:44">
      <c r="K58" s="380"/>
      <c r="AB58" s="46"/>
      <c r="AC58" s="46"/>
      <c r="AD58" s="46"/>
      <c r="AE58" s="46"/>
      <c r="AF58" s="46"/>
      <c r="AG58" s="46"/>
      <c r="AH58" s="46"/>
      <c r="AI58" s="46"/>
      <c r="AJ58" s="46"/>
      <c r="AK58" s="46"/>
      <c r="AL58" s="46"/>
      <c r="AM58" s="46"/>
      <c r="AN58" s="46"/>
      <c r="AO58" s="46"/>
      <c r="AP58" s="46"/>
      <c r="AQ58" s="46"/>
      <c r="AR58" s="46"/>
    </row>
    <row r="59" spans="2:44" ht="15">
      <c r="J59" s="372"/>
      <c r="K59" s="372"/>
      <c r="AA59" t="s">
        <v>1097</v>
      </c>
      <c r="AB59" s="46">
        <f>+DropINTable!AB80</f>
        <v>290.45779013383293</v>
      </c>
      <c r="AC59" s="46">
        <f>+DropINTable!AC80</f>
        <v>305.86147228342168</v>
      </c>
      <c r="AD59" s="46">
        <f>+DropINTable!AD80</f>
        <v>320.62033440735286</v>
      </c>
      <c r="AE59" s="46">
        <f>+DropINTable!AE80</f>
        <v>345.5187987465759</v>
      </c>
      <c r="AF59" s="46">
        <f>+DropINTable!AF80</f>
        <v>386.27782226932663</v>
      </c>
      <c r="AG59" s="46">
        <f>+DropINTable!AG80</f>
        <v>449.32992070431465</v>
      </c>
      <c r="AH59" s="46">
        <f>+DropINTable!AH80</f>
        <v>536.75322761269865</v>
      </c>
      <c r="AI59" s="46">
        <f>+DropINTable!AI80</f>
        <v>610.86432858205978</v>
      </c>
      <c r="AJ59" s="46">
        <f>+DropINTable!AJ80</f>
        <v>693.33256977823714</v>
      </c>
      <c r="AK59" s="46">
        <f>+DropINTable!AK80</f>
        <v>741.8010713998334</v>
      </c>
      <c r="AL59" s="46">
        <f>+DropINTable!AL80</f>
        <v>807.93617979442604</v>
      </c>
      <c r="AM59" s="46">
        <f>+DropINTable!AM80</f>
        <v>924.65754810595058</v>
      </c>
      <c r="AN59" s="46">
        <f>+DropINTable!AN80</f>
        <v>1097.2690006933142</v>
      </c>
      <c r="AO59" s="46">
        <f>+DropINTable!AO80</f>
        <v>1112.1223978224782</v>
      </c>
      <c r="AP59" s="46"/>
      <c r="AQ59" s="46"/>
      <c r="AR59" s="46"/>
    </row>
    <row r="60" spans="2:44">
      <c r="AA60" t="s">
        <v>1186</v>
      </c>
      <c r="AB60" s="46">
        <f>IF(DropINTable!AB81-DropINTable!AB80&lt;0,0,+DropINTable!AB81-DropINTable!AB80)</f>
        <v>0</v>
      </c>
      <c r="AC60" s="46">
        <f>IF(DropINTable!AC81-DropINTable!AC80&lt;0,0,+DropINTable!AC81-DropINTable!AC80)</f>
        <v>97.366005206526381</v>
      </c>
      <c r="AD60" s="46">
        <f>IF(DropINTable!AD81-DropINTable!AD80&lt;0,0,+DropINTable!AD81-DropINTable!AD80)</f>
        <v>97.267992510728163</v>
      </c>
      <c r="AE60" s="46">
        <f>IF(DropINTable!AE81-DropINTable!AE80&lt;0,0,+DropINTable!AE81-DropINTable!AE80)</f>
        <v>97.102643389095192</v>
      </c>
      <c r="AF60" s="46">
        <f>IF(DropINTable!AF81-DropINTable!AF80&lt;0,0,+DropINTable!AF81-DropINTable!AF80)</f>
        <v>96.831967881050332</v>
      </c>
      <c r="AG60" s="46">
        <f>IF(DropINTable!AG81-DropINTable!AG80&lt;0,0,+DropINTable!AG81-DropINTable!AG80)</f>
        <v>96.413243343575118</v>
      </c>
      <c r="AH60" s="46">
        <f>IF(DropINTable!AH81-DropINTable!AH80&lt;0,0,+DropINTable!AH81-DropINTable!AH80)</f>
        <v>95.832673089121272</v>
      </c>
      <c r="AI60" s="46">
        <f>IF(DropINTable!AI81-DropINTable!AI80&lt;0,0,+DropINTable!AI81-DropINTable!AI80)</f>
        <v>95.340507784247507</v>
      </c>
      <c r="AJ60" s="46">
        <f>IF(DropINTable!AJ81-DropINTable!AJ80&lt;0,0,+DropINTable!AJ81-DropINTable!AJ80)</f>
        <v>94.792842373409144</v>
      </c>
      <c r="AK60" s="46">
        <f>IF(DropINTable!AK81-DropINTable!AK80&lt;0,0,+DropINTable!AK81-DropINTable!AK80)</f>
        <v>94.470968064272938</v>
      </c>
      <c r="AL60" s="46">
        <f>IF(DropINTable!AL81-DropINTable!AL80&lt;0,0,+DropINTable!AL81-DropINTable!AL80)</f>
        <v>94.031770522507259</v>
      </c>
      <c r="AM60" s="46">
        <f>IF(DropINTable!AM81-DropINTable!AM80&lt;0,0,+DropINTable!AM81-DropINTable!AM80)</f>
        <v>93.256633417780677</v>
      </c>
      <c r="AN60" s="46">
        <f>IF(DropINTable!AN81-DropINTable!AN80&lt;0,0,+DropINTable!AN81-DropINTable!AN80)</f>
        <v>92.110338877218965</v>
      </c>
      <c r="AO60" s="46">
        <f>IF(DropINTable!AO81-DropINTable!AO80&lt;0,0,+DropINTable!AO81-DropINTable!AO80)</f>
        <v>92.01169481588795</v>
      </c>
      <c r="AP60" s="46"/>
      <c r="AQ60" s="46"/>
      <c r="AR60" s="46"/>
    </row>
    <row r="61" spans="2:44">
      <c r="AP61" s="46"/>
      <c r="AQ61" s="46"/>
      <c r="AR61" s="46"/>
    </row>
    <row r="62" spans="2:44">
      <c r="AP62" s="46"/>
      <c r="AQ62" s="46"/>
      <c r="AR62" s="46"/>
    </row>
    <row r="63" spans="2:44" ht="28.5">
      <c r="AA63" s="369" t="s">
        <v>237</v>
      </c>
      <c r="AB63" s="46"/>
      <c r="AC63" s="46"/>
      <c r="AD63" s="46"/>
      <c r="AE63" s="46"/>
      <c r="AF63" s="46"/>
      <c r="AG63" s="46"/>
      <c r="AH63" s="46"/>
      <c r="AI63" s="46"/>
      <c r="AJ63" s="46"/>
      <c r="AK63" s="46"/>
      <c r="AL63" s="46"/>
      <c r="AM63" s="46"/>
      <c r="AN63" s="46"/>
      <c r="AO63" s="46"/>
      <c r="AP63" s="46"/>
      <c r="AQ63" s="46"/>
      <c r="AR63" s="46"/>
    </row>
    <row r="64" spans="2:44">
      <c r="AA64" t="s">
        <v>1086</v>
      </c>
      <c r="AB64" s="46">
        <f>+DropINTable!AB87</f>
        <v>0</v>
      </c>
      <c r="AC64" s="46">
        <f>+DropINTable!AC87</f>
        <v>640.64890948092886</v>
      </c>
      <c r="AD64" s="46">
        <f>+DropINTable!AD87</f>
        <v>655.38235758271662</v>
      </c>
      <c r="AE64" s="46">
        <f>+DropINTable!AE87</f>
        <v>680.23794827851987</v>
      </c>
      <c r="AF64" s="46">
        <f>+DropINTable!AF87</f>
        <v>720.92678693737093</v>
      </c>
      <c r="AG64" s="46">
        <f>+DropINTable!AG87</f>
        <v>783.87031252187353</v>
      </c>
      <c r="AH64" s="46">
        <f>+DropINTable!AH87</f>
        <v>871.14308047332293</v>
      </c>
      <c r="AI64" s="46">
        <f>+DropINTable!AI87</f>
        <v>945.12656763902021</v>
      </c>
      <c r="AJ64" s="46">
        <f>+DropINTable!AJ87</f>
        <v>1027.4528020375424</v>
      </c>
      <c r="AK64" s="46">
        <f>+DropINTable!AK87</f>
        <v>1075.8378429785196</v>
      </c>
      <c r="AL64" s="46">
        <f>+DropINTable!AL87</f>
        <v>1141.859070942782</v>
      </c>
      <c r="AM64" s="46">
        <f>+DropINTable!AM87</f>
        <v>1258.3794506713587</v>
      </c>
      <c r="AN64" s="46">
        <f>+DropINTable!AN87</f>
        <v>1430.6936768153125</v>
      </c>
      <c r="AO64" s="46">
        <f>+DropINTable!AO87</f>
        <v>1445.5214958417369</v>
      </c>
      <c r="AP64" s="46"/>
      <c r="AQ64" s="46"/>
      <c r="AR64" s="46"/>
    </row>
    <row r="65" spans="27:44">
      <c r="AA65" t="s">
        <v>1186</v>
      </c>
      <c r="AB65" s="46">
        <f>IF(DropINTable!AB88-DropINTable!AB87&lt;0,0,+DropINTable!AB88-DropINTable!AB87)</f>
        <v>0</v>
      </c>
      <c r="AC65" s="46">
        <f>IF(DropINTable!AC88-DropINTable!AC87&lt;0,0,+DropINTable!AC88-DropINTable!AC87)</f>
        <v>0</v>
      </c>
      <c r="AD65" s="46">
        <f>IF(DropINTable!AD88-DropINTable!AD87&lt;0,0,+DropINTable!AD88-DropINTable!AD87)</f>
        <v>89.630154429599884</v>
      </c>
      <c r="AE65" s="46">
        <f>IF(DropINTable!AE88-DropINTable!AE87&lt;0,0,+DropINTable!AE88-DropINTable!AE87)</f>
        <v>89.736384431485135</v>
      </c>
      <c r="AF65" s="46">
        <f>IF(DropINTable!AF88-DropINTable!AF87&lt;0,0,+DropINTable!AF88-DropINTable!AF87)</f>
        <v>89.91028591054021</v>
      </c>
      <c r="AG65" s="46">
        <f>IF(DropINTable!AG88-DropINTable!AG87&lt;0,0,+DropINTable!AG88-DropINTable!AG87)</f>
        <v>90.179299329062133</v>
      </c>
      <c r="AH65" s="46">
        <f>IF(DropINTable!AH88-DropINTable!AH87&lt;0,0,+DropINTable!AH88-DropINTable!AH87)</f>
        <v>90.552294346356462</v>
      </c>
      <c r="AI65" s="46">
        <f>IF(DropINTable!AI88-DropINTable!AI87&lt;0,0,+DropINTable!AI88-DropINTable!AI87)</f>
        <v>90.868489617100636</v>
      </c>
      <c r="AJ65" s="46">
        <f>IF(DropINTable!AJ88-DropINTable!AJ87&lt;0,0,+DropINTable!AJ88-DropINTable!AJ87)</f>
        <v>91.220345606669525</v>
      </c>
      <c r="AK65" s="46">
        <f>IF(DropINTable!AK88-DropINTable!AK87&lt;0,0,+DropINTable!AK88-DropINTable!AK87)</f>
        <v>91.427138851984182</v>
      </c>
      <c r="AL65" s="46">
        <f>IF(DropINTable!AL88-DropINTable!AL87&lt;0,0,+DropINTable!AL88-DropINTable!AL87)</f>
        <v>91.709304393395996</v>
      </c>
      <c r="AM65" s="46">
        <f>IF(DropINTable!AM88-DropINTable!AM87&lt;0,0,+DropINTable!AM88-DropINTable!AM87)</f>
        <v>92.207301366930324</v>
      </c>
      <c r="AN65" s="46">
        <f>IF(DropINTable!AN88-DropINTable!AN87&lt;0,0,+DropINTable!AN88-DropINTable!AN87)</f>
        <v>92.943756016573843</v>
      </c>
      <c r="AO65" s="46">
        <f>IF(DropINTable!AO88-DropINTable!AO87&lt;0,0,+DropINTable!AO88-DropINTable!AO87)</f>
        <v>93.0071264588546</v>
      </c>
      <c r="AP65" s="46"/>
      <c r="AQ65" s="46"/>
      <c r="AR65" s="46"/>
    </row>
    <row r="66" spans="27:44">
      <c r="AB66" s="46"/>
      <c r="AC66" s="46"/>
      <c r="AD66" s="46"/>
      <c r="AE66" s="46"/>
      <c r="AF66" s="46"/>
      <c r="AG66" s="46"/>
      <c r="AH66" s="46"/>
      <c r="AI66" s="46"/>
      <c r="AJ66" s="46"/>
      <c r="AK66" s="46"/>
      <c r="AL66" s="46"/>
      <c r="AM66" s="46"/>
      <c r="AN66" s="46"/>
      <c r="AO66" s="46"/>
      <c r="AP66" s="46"/>
      <c r="AQ66" s="46"/>
      <c r="AR66" s="46"/>
    </row>
    <row r="67" spans="27:44">
      <c r="AA67" t="s">
        <v>1097</v>
      </c>
      <c r="AB67" s="46">
        <f>+DropINTable!AB92</f>
        <v>353.12192766813553</v>
      </c>
      <c r="AC67" s="46">
        <f>+DropINTable!AC92</f>
        <v>368.52560902527819</v>
      </c>
      <c r="AD67" s="46">
        <f>+DropINTable!AD92</f>
        <v>383.28447105376074</v>
      </c>
      <c r="AE67" s="46">
        <f>+DropINTable!AE92</f>
        <v>408.18293502699652</v>
      </c>
      <c r="AF67" s="46">
        <f>+DropINTable!AF92</f>
        <v>448.94195963593063</v>
      </c>
      <c r="AG67" s="46">
        <f>+DropINTable!AG92</f>
        <v>511.99405739248232</v>
      </c>
      <c r="AH67" s="46">
        <f>+DropINTable!AH92</f>
        <v>599.41736421691849</v>
      </c>
      <c r="AI67" s="46">
        <f>+DropINTable!AI92</f>
        <v>673.52846640609437</v>
      </c>
      <c r="AJ67" s="46">
        <f>+DropINTable!AJ92</f>
        <v>755.99670657433808</v>
      </c>
      <c r="AK67" s="46">
        <f>+DropINTable!AK92</f>
        <v>804.46520808628804</v>
      </c>
      <c r="AL67" s="46">
        <f>+DropINTable!AL92</f>
        <v>870.60031747455002</v>
      </c>
      <c r="AM67" s="46">
        <f>+DropINTable!AM92</f>
        <v>987.32168432640844</v>
      </c>
      <c r="AN67" s="46">
        <f>+DropINTable!AN92</f>
        <v>1159.9331379211471</v>
      </c>
      <c r="AO67" s="46">
        <f>+DropINTable!AO92</f>
        <v>1174.7865336180569</v>
      </c>
      <c r="AP67" s="46"/>
      <c r="AQ67" s="46"/>
      <c r="AR67" s="46"/>
    </row>
    <row r="68" spans="27:44">
      <c r="AA68" t="s">
        <v>1186</v>
      </c>
      <c r="AB68" s="46">
        <f>IF(DropINTable!AB93-DropINTable!AB92&lt;0,0,+DropINTable!AB93-DropINTable!AB92)</f>
        <v>0</v>
      </c>
      <c r="AC68" s="46">
        <f>IF(DropINTable!AC93-DropINTable!AC92&lt;0,0,+DropINTable!AC93-DropINTable!AC92)</f>
        <v>96.949858692095916</v>
      </c>
      <c r="AD68" s="46">
        <f>IF(DropINTable!AD93-DropINTable!AD92&lt;0,0,+DropINTable!AD93-DropINTable!AD92)</f>
        <v>96.85184601603089</v>
      </c>
      <c r="AE68" s="46">
        <f>IF(DropINTable!AE93-DropINTable!AE92&lt;0,0,+DropINTable!AE93-DropINTable!AE92)</f>
        <v>96.686497936775652</v>
      </c>
      <c r="AF68" s="46">
        <f>IF(DropINTable!AF93-DropINTable!AF92&lt;0,0,+DropINTable!AF93-DropINTable!AF92)</f>
        <v>96.41581926289939</v>
      </c>
      <c r="AG68" s="46">
        <f>IF(DropINTable!AG93-DropINTable!AG92&lt;0,0,+DropINTable!AG93-DropINTable!AG92)</f>
        <v>95.997095424051395</v>
      </c>
      <c r="AH68" s="46">
        <f>IF(DropINTable!AH93-DropINTable!AH92&lt;0,0,+DropINTable!AH93-DropINTable!AH92)</f>
        <v>95.416524688203936</v>
      </c>
      <c r="AI68" s="46">
        <f>IF(DropINTable!AI93-DropINTable!AI92&lt;0,0,+DropINTable!AI93-DropINTable!AI92)</f>
        <v>94.924359334579549</v>
      </c>
      <c r="AJ68" s="46">
        <f>IF(DropINTable!AJ93-DropINTable!AJ92&lt;0,0,+DropINTable!AJ93-DropINTable!AJ92)</f>
        <v>94.376696809224541</v>
      </c>
      <c r="AK68" s="46">
        <f>IF(DropINTable!AK93-DropINTable!AK92&lt;0,0,+DropINTable!AK93-DropINTable!AK92)</f>
        <v>94.054821721341455</v>
      </c>
      <c r="AL68" s="46">
        <f>IF(DropINTable!AL93-DropINTable!AL92&lt;0,0,+DropINTable!AL93-DropINTable!AL92)</f>
        <v>93.615621086067335</v>
      </c>
      <c r="AM68" s="46">
        <f>IF(DropINTable!AM93-DropINTable!AM92&lt;0,0,+DropINTable!AM93-DropINTable!AM92)</f>
        <v>92.840489721447625</v>
      </c>
      <c r="AN68" s="46">
        <f>IF(DropINTable!AN93-DropINTable!AN92&lt;0,0,+DropINTable!AN93-DropINTable!AN92)</f>
        <v>91.69419045841164</v>
      </c>
      <c r="AO68" s="46">
        <f>IF(DropINTable!AO93-DropINTable!AO92&lt;0,0,+DropINTable!AO93-DropINTable!AO92)</f>
        <v>91.595548636965304</v>
      </c>
      <c r="AP68" s="46"/>
      <c r="AQ68" s="46"/>
      <c r="AR68" s="46"/>
    </row>
    <row r="69" spans="27:44">
      <c r="AB69" s="46"/>
      <c r="AC69" s="46"/>
      <c r="AD69" s="46"/>
      <c r="AE69" s="46"/>
      <c r="AF69" s="46"/>
      <c r="AG69" s="46"/>
      <c r="AH69" s="46"/>
      <c r="AI69" s="46"/>
      <c r="AJ69" s="46"/>
      <c r="AK69" s="46"/>
      <c r="AL69" s="46"/>
      <c r="AM69" s="46"/>
      <c r="AN69" s="46"/>
      <c r="AO69" s="46"/>
      <c r="AP69" s="46"/>
      <c r="AQ69" s="46"/>
      <c r="AR69" s="46"/>
    </row>
    <row r="70" spans="27:44">
      <c r="AB70" s="46"/>
      <c r="AC70" s="46"/>
      <c r="AD70" s="46"/>
      <c r="AE70" s="46"/>
      <c r="AF70" s="46"/>
      <c r="AG70" s="46"/>
      <c r="AH70" s="46"/>
      <c r="AI70" s="46"/>
      <c r="AJ70" s="46"/>
      <c r="AK70" s="46"/>
      <c r="AL70" s="46"/>
      <c r="AM70" s="46"/>
      <c r="AN70" s="46"/>
      <c r="AO70" s="46"/>
      <c r="AP70" s="46"/>
      <c r="AQ70" s="46"/>
      <c r="AR70" s="46"/>
    </row>
    <row r="71" spans="27:44" ht="28.5">
      <c r="AA71" s="369" t="s">
        <v>233</v>
      </c>
      <c r="AB71" s="46"/>
      <c r="AC71" s="46"/>
      <c r="AD71" s="46"/>
      <c r="AE71" s="46"/>
      <c r="AF71" s="46"/>
      <c r="AG71" s="46"/>
      <c r="AH71" s="46"/>
      <c r="AI71" s="46"/>
      <c r="AJ71" s="46"/>
      <c r="AK71" s="46"/>
      <c r="AL71" s="46"/>
      <c r="AM71" s="46"/>
      <c r="AN71" s="46"/>
      <c r="AO71" s="46"/>
      <c r="AP71" s="46"/>
      <c r="AQ71" s="46"/>
      <c r="AR71" s="46"/>
    </row>
    <row r="72" spans="27:44">
      <c r="AA72" t="s">
        <v>1086</v>
      </c>
      <c r="AB72" s="46">
        <f>+DropINTable!AB99</f>
        <v>0</v>
      </c>
      <c r="AC72" s="46">
        <f>+DropINTable!AC99</f>
        <v>619.98742307917848</v>
      </c>
      <c r="AD72" s="46">
        <f>+DropINTable!AD99</f>
        <v>634.72087145287287</v>
      </c>
      <c r="AE72" s="46">
        <f>+DropINTable!AE99</f>
        <v>659.57646223853715</v>
      </c>
      <c r="AF72" s="46">
        <f>+DropINTable!AF99</f>
        <v>700.26530081837245</v>
      </c>
      <c r="AG72" s="46">
        <f>+DropINTable!AG99</f>
        <v>763.20882595202136</v>
      </c>
      <c r="AH72" s="46">
        <f>+DropINTable!AH99</f>
        <v>850.48159512743848</v>
      </c>
      <c r="AI72" s="46">
        <f>+DropINTable!AI99</f>
        <v>924.46508061366603</v>
      </c>
      <c r="AJ72" s="46">
        <f>+DropINTable!AJ99</f>
        <v>1006.7913167226445</v>
      </c>
      <c r="AK72" s="46">
        <f>+DropINTable!AK99</f>
        <v>1055.1763578743301</v>
      </c>
      <c r="AL72" s="46">
        <f>+DropINTable!AL99</f>
        <v>1121.197584698288</v>
      </c>
      <c r="AM72" s="46">
        <f>+DropINTable!AM99</f>
        <v>1237.7179644392595</v>
      </c>
      <c r="AN72" s="46">
        <f>+DropINTable!AN99</f>
        <v>1410.0321916615446</v>
      </c>
      <c r="AO72" s="46">
        <f>+DropINTable!AO99</f>
        <v>1424.8600092749832</v>
      </c>
      <c r="AP72" s="46"/>
      <c r="AQ72" s="46"/>
    </row>
    <row r="73" spans="27:44">
      <c r="AA73" t="s">
        <v>1186</v>
      </c>
      <c r="AB73" s="46">
        <f>IF(DropINTable!AB100-DropINTable!AB99&lt;0,0,+DropINTable!AB100-DropINTable!AB99)</f>
        <v>0</v>
      </c>
      <c r="AC73" s="46">
        <f>IF(DropINTable!AC100-DropINTable!AC99&lt;0,0,+DropINTable!AC100-DropINTable!AC99)</f>
        <v>0</v>
      </c>
      <c r="AD73" s="46">
        <f>IF(DropINTable!AD100-DropINTable!AD99&lt;0,0,+DropINTable!AD100-DropINTable!AD99)</f>
        <v>89.541850389972865</v>
      </c>
      <c r="AE73" s="46">
        <f>IF(DropINTable!AE100-DropINTable!AE99&lt;0,0,+DropINTable!AE100-DropINTable!AE99)</f>
        <v>89.648080996665271</v>
      </c>
      <c r="AF73" s="46">
        <f>IF(DropINTable!AF100-DropINTable!AF99&lt;0,0,+DropINTable!AF100-DropINTable!AF99)</f>
        <v>89.821980747104817</v>
      </c>
      <c r="AG73" s="46">
        <f>IF(DropINTable!AG100-DropINTable!AG99&lt;0,0,+DropINTable!AG100-DropINTable!AG99)</f>
        <v>90.090993914342789</v>
      </c>
      <c r="AH73" s="46">
        <f>IF(DropINTable!AH100-DropINTable!AH99&lt;0,0,+DropINTable!AH100-DropINTable!AH99)</f>
        <v>90.463987438765457</v>
      </c>
      <c r="AI73" s="46">
        <f>IF(DropINTable!AI100-DropINTable!AI99&lt;0,0,+DropINTable!AI100-DropINTable!AI99)</f>
        <v>90.780186719479502</v>
      </c>
      <c r="AJ73" s="46">
        <f>IF(DropINTable!AJ100-DropINTable!AJ99&lt;0,0,+DropINTable!AJ100-DropINTable!AJ99)</f>
        <v>91.132038966873779</v>
      </c>
      <c r="AK73" s="46">
        <f>IF(DropINTable!AK100-DropINTable!AK99&lt;0,0,+DropINTable!AK100-DropINTable!AK99)</f>
        <v>91.338834421614592</v>
      </c>
      <c r="AL73" s="46">
        <f>IF(DropINTable!AL100-DropINTable!AL99&lt;0,0,+DropINTable!AL100-DropINTable!AL99)</f>
        <v>91.62100149174762</v>
      </c>
      <c r="AM73" s="46">
        <f>IF(DropINTable!AM100-DropINTable!AM99&lt;0,0,+DropINTable!AM100-DropINTable!AM99)</f>
        <v>92.118995106528018</v>
      </c>
      <c r="AN73" s="46">
        <f>IF(DropINTable!AN100-DropINTable!AN99&lt;0,0,+DropINTable!AN100-DropINTable!AN99)</f>
        <v>92.855448677840513</v>
      </c>
      <c r="AO73" s="46">
        <f>IF(DropINTable!AO100-DropINTable!AO99&lt;0,0,+DropINTable!AO100-DropINTable!AO99)</f>
        <v>92.918821728235343</v>
      </c>
      <c r="AP73" s="46"/>
      <c r="AQ73" s="46"/>
      <c r="AR73" s="46"/>
    </row>
    <row r="74" spans="27:44">
      <c r="AB74" s="46"/>
      <c r="AC74" s="46"/>
      <c r="AD74" s="46"/>
      <c r="AE74" s="46"/>
      <c r="AF74" s="46"/>
      <c r="AG74" s="46"/>
      <c r="AH74" s="46"/>
      <c r="AI74" s="46"/>
      <c r="AJ74" s="46"/>
      <c r="AK74" s="46"/>
      <c r="AL74" s="46"/>
      <c r="AM74" s="46"/>
      <c r="AN74" s="46"/>
      <c r="AO74" s="46"/>
      <c r="AP74" s="46"/>
      <c r="AQ74" s="46"/>
      <c r="AR74" s="46"/>
    </row>
    <row r="75" spans="27:44">
      <c r="AA75" t="s">
        <v>1097</v>
      </c>
      <c r="AB75" s="46">
        <f>+DropINTable!AB104</f>
        <v>332.42480170087873</v>
      </c>
      <c r="AC75" s="46">
        <f>+DropINTable!AC104</f>
        <v>347.82848393674431</v>
      </c>
      <c r="AD75" s="46">
        <f>+DropINTable!AD104</f>
        <v>362.5873459864012</v>
      </c>
      <c r="AE75" s="46">
        <f>+DropINTable!AE104</f>
        <v>387.48581071752409</v>
      </c>
      <c r="AF75" s="46">
        <f>+DropINTable!AF104</f>
        <v>428.2448335083003</v>
      </c>
      <c r="AG75" s="46">
        <f>+DropINTable!AG104</f>
        <v>491.29693198611886</v>
      </c>
      <c r="AH75" s="46">
        <f>+DropINTable!AH104</f>
        <v>578.7202388362532</v>
      </c>
      <c r="AI75" s="46">
        <f>+DropINTable!AI104</f>
        <v>652.83134041552182</v>
      </c>
      <c r="AJ75" s="46">
        <f>+DropINTable!AJ104</f>
        <v>735.29958199203486</v>
      </c>
      <c r="AK75" s="46">
        <f>+DropINTable!AK104</f>
        <v>783.76808370271874</v>
      </c>
      <c r="AL75" s="46">
        <f>+DropINTable!AL104</f>
        <v>849.90319095973121</v>
      </c>
      <c r="AM75" s="46">
        <f>+DropINTable!AM104</f>
        <v>966.6245596001944</v>
      </c>
      <c r="AN75" s="46">
        <f>+DropINTable!AN104</f>
        <v>1139.2360135855481</v>
      </c>
      <c r="AO75" s="46">
        <f>+DropINTable!AO104</f>
        <v>1154.0894087342265</v>
      </c>
      <c r="AP75" s="46"/>
      <c r="AQ75" s="46"/>
      <c r="AR75" s="46"/>
    </row>
    <row r="76" spans="27:44">
      <c r="AA76" t="s">
        <v>1186</v>
      </c>
      <c r="AB76" s="46">
        <f>IF(DropINTable!AB105-DropINTable!AB104&lt;0,0,+DropINTable!AB105-DropINTable!AB104)</f>
        <v>0</v>
      </c>
      <c r="AC76" s="46">
        <f>IF(DropINTable!AC105-DropINTable!AC104&lt;0,0,+DropINTable!AC105-DropINTable!AC104)</f>
        <v>97.087304810933063</v>
      </c>
      <c r="AD76" s="46">
        <f>IF(DropINTable!AD105-DropINTable!AD104&lt;0,0,+DropINTable!AD105-DropINTable!AD104)</f>
        <v>96.989292128836723</v>
      </c>
      <c r="AE76" s="46">
        <f>IF(DropINTable!AE105-DropINTable!AE104&lt;0,0,+DropINTable!AE105-DropINTable!AE104)</f>
        <v>96.823944906954921</v>
      </c>
      <c r="AF76" s="46">
        <f>IF(DropINTable!AF105-DropINTable!AF104&lt;0,0,+DropINTable!AF105-DropINTable!AF104)</f>
        <v>96.553269363635764</v>
      </c>
      <c r="AG76" s="46">
        <f>IF(DropINTable!AG105-DropINTable!AG104&lt;0,0,+DropINTable!AG105-DropINTable!AG104)</f>
        <v>96.134545651532619</v>
      </c>
      <c r="AH76" s="46">
        <f>IF(DropINTable!AH105-DropINTable!AH104&lt;0,0,+DropINTable!AH105-DropINTable!AH104)</f>
        <v>95.553973436252591</v>
      </c>
      <c r="AI76" s="46">
        <f>IF(DropINTable!AI105-DropINTable!AI104&lt;0,0,+DropINTable!AI105-DropINTable!AI104)</f>
        <v>95.06180812719424</v>
      </c>
      <c r="AJ76" s="46">
        <f>IF(DropINTable!AJ105-DropINTable!AJ104&lt;0,0,+DropINTable!AJ105-DropINTable!AJ104)</f>
        <v>94.514143708991696</v>
      </c>
      <c r="AK76" s="46">
        <f>IF(DropINTable!AK105-DropINTable!AK104&lt;0,0,+DropINTable!AK105-DropINTable!AK104)</f>
        <v>94.192268826189775</v>
      </c>
      <c r="AL76" s="46">
        <f>IF(DropINTable!AL105-DropINTable!AL104&lt;0,0,+DropINTable!AL105-DropINTable!AL104)</f>
        <v>93.753071452847848</v>
      </c>
      <c r="AM76" s="46">
        <f>IF(DropINTable!AM105-DropINTable!AM104&lt;0,0,+DropINTable!AM105-DropINTable!AM104)</f>
        <v>92.977933130789438</v>
      </c>
      <c r="AN76" s="46">
        <f>IF(DropINTable!AN105-DropINTable!AN104&lt;0,0,+DropINTable!AN105-DropINTable!AN104)</f>
        <v>91.831635415451046</v>
      </c>
      <c r="AO76" s="46">
        <f>IF(DropINTable!AO105-DropINTable!AO104&lt;0,0,+DropINTable!AO105-DropINTable!AO104)</f>
        <v>91.73299769580899</v>
      </c>
      <c r="AP76" s="46"/>
      <c r="AQ76" s="46"/>
      <c r="AR76" s="46"/>
    </row>
    <row r="77" spans="27:44">
      <c r="AB77" s="46"/>
      <c r="AC77" s="46"/>
      <c r="AD77" s="46"/>
      <c r="AE77" s="46"/>
      <c r="AF77" s="46"/>
      <c r="AG77" s="46"/>
      <c r="AH77" s="46"/>
      <c r="AI77" s="46"/>
      <c r="AJ77" s="46"/>
      <c r="AK77" s="46"/>
      <c r="AL77" s="46"/>
      <c r="AM77" s="46"/>
      <c r="AN77" s="46"/>
      <c r="AO77" s="46"/>
      <c r="AP77" s="46"/>
      <c r="AQ77" s="46"/>
      <c r="AR77" s="46"/>
    </row>
    <row r="78" spans="27:44">
      <c r="AB78" s="46"/>
      <c r="AC78" s="46"/>
      <c r="AD78" s="46"/>
      <c r="AE78" s="46"/>
      <c r="AF78" s="46"/>
      <c r="AG78" s="46"/>
      <c r="AH78" s="46"/>
      <c r="AI78" s="46"/>
      <c r="AJ78" s="46"/>
      <c r="AK78" s="46"/>
      <c r="AL78" s="46"/>
      <c r="AM78" s="46"/>
      <c r="AN78" s="46"/>
      <c r="AO78" s="46"/>
      <c r="AP78" s="46"/>
      <c r="AQ78" s="46"/>
      <c r="AR78" s="46"/>
    </row>
    <row r="79" spans="27:44" ht="28.5">
      <c r="AA79" s="369" t="s">
        <v>240</v>
      </c>
      <c r="AB79" s="46"/>
      <c r="AC79" s="46"/>
      <c r="AD79" s="46"/>
      <c r="AE79" s="46"/>
      <c r="AF79" s="46"/>
      <c r="AG79" s="46"/>
      <c r="AH79" s="46"/>
      <c r="AI79" s="46"/>
      <c r="AJ79" s="46"/>
      <c r="AK79" s="46"/>
      <c r="AL79" s="46"/>
      <c r="AM79" s="46"/>
      <c r="AN79" s="46"/>
      <c r="AO79" s="46"/>
      <c r="AP79" s="46"/>
      <c r="AQ79" s="46"/>
      <c r="AR79" s="46"/>
    </row>
    <row r="80" spans="27:44">
      <c r="AA80" t="s">
        <v>1086</v>
      </c>
      <c r="AB80" s="46">
        <f>+DropINTable!AB111</f>
        <v>0</v>
      </c>
      <c r="AC80" s="46">
        <f>+DropINTable!AC111</f>
        <v>577.49719750158374</v>
      </c>
      <c r="AD80" s="46">
        <f>+DropINTable!AD111</f>
        <v>592.23064560724458</v>
      </c>
      <c r="AE80" s="46">
        <f>+DropINTable!AE111</f>
        <v>617.08623618220054</v>
      </c>
      <c r="AF80" s="46">
        <f>+DropINTable!AF111</f>
        <v>657.77507481006489</v>
      </c>
      <c r="AG80" s="46">
        <f>+DropINTable!AG111</f>
        <v>720.71860092443728</v>
      </c>
      <c r="AH80" s="46">
        <f>+DropINTable!AH111</f>
        <v>807.99136949561716</v>
      </c>
      <c r="AI80" s="46">
        <f>+DropINTable!AI111</f>
        <v>881.9748558091851</v>
      </c>
      <c r="AJ80" s="46">
        <f>+DropINTable!AJ111</f>
        <v>964.30109023869375</v>
      </c>
      <c r="AK80" s="46">
        <f>+DropINTable!AK111</f>
        <v>1012.6861317808097</v>
      </c>
      <c r="AL80" s="46">
        <f>+DropINTable!AL111</f>
        <v>1078.7073594352069</v>
      </c>
      <c r="AM80" s="46">
        <f>+DropINTable!AM111</f>
        <v>1195.2277393559</v>
      </c>
      <c r="AN80" s="46">
        <f>+DropINTable!AN111</f>
        <v>1367.5419637646085</v>
      </c>
      <c r="AO80" s="46">
        <f>+DropINTable!AO111</f>
        <v>1382.36978254314</v>
      </c>
      <c r="AP80" s="46"/>
      <c r="AQ80" s="46"/>
      <c r="AR80" s="46"/>
    </row>
    <row r="81" spans="27:44">
      <c r="AA81" t="s">
        <v>1186</v>
      </c>
      <c r="AB81" s="46">
        <f>IF(DropINTable!AB112-DropINTable!AB111&lt;0,0,+DropINTable!AB112-DropINTable!AB111)</f>
        <v>0</v>
      </c>
      <c r="AC81" s="46">
        <f>IF(DropINTable!AC112-DropINTable!AC111&lt;0,0,+DropINTable!AC112-DropINTable!AC111)</f>
        <v>0</v>
      </c>
      <c r="AD81" s="46">
        <f>IF(DropINTable!AD112-DropINTable!AD111&lt;0,0,+DropINTable!AD112-DropINTable!AD111)</f>
        <v>89.360250363218597</v>
      </c>
      <c r="AE81" s="46">
        <f>IF(DropINTable!AE112-DropINTable!AE111&lt;0,0,+DropINTable!AE112-DropINTable!AE111)</f>
        <v>89.466480373907871</v>
      </c>
      <c r="AF81" s="46">
        <f>IF(DropINTable!AF112-DropINTable!AF111&lt;0,0,+DropINTable!AF112-DropINTable!AF111)</f>
        <v>89.640380995073087</v>
      </c>
      <c r="AG81" s="46">
        <f>IF(DropINTable!AG112-DropINTable!AG111&lt;0,0,+DropINTable!AG112-DropINTable!AG111)</f>
        <v>89.909395721235001</v>
      </c>
      <c r="AH81" s="46">
        <f>IF(DropINTable!AH112-DropINTable!AH111&lt;0,0,+DropINTable!AH112-DropINTable!AH111)</f>
        <v>90.282390447458965</v>
      </c>
      <c r="AI81" s="46">
        <f>IF(DropINTable!AI112-DropINTable!AI111&lt;0,0,+DropINTable!AI112-DropINTable!AI111)</f>
        <v>90.598588079181923</v>
      </c>
      <c r="AJ81" s="46">
        <f>IF(DropINTable!AJ112-DropINTable!AJ111&lt;0,0,+DropINTable!AJ112-DropINTable!AJ111)</f>
        <v>90.950442992026979</v>
      </c>
      <c r="AK81" s="46">
        <f>IF(DropINTable!AK112-DropINTable!AK111&lt;0,0,+DropINTable!AK112-DropINTable!AK111)</f>
        <v>91.157232947164516</v>
      </c>
      <c r="AL81" s="46">
        <f>IF(DropINTable!AL112-DropINTable!AL111&lt;0,0,+DropINTable!AL112-DropINTable!AL111)</f>
        <v>91.439400860037722</v>
      </c>
      <c r="AM81" s="46">
        <f>IF(DropINTable!AM112-DropINTable!AM111&lt;0,0,+DropINTable!AM112-DropINTable!AM111)</f>
        <v>91.937398268897596</v>
      </c>
      <c r="AN81" s="46">
        <f>IF(DropINTable!AN112-DropINTable!AN111&lt;0,0,+DropINTable!AN112-DropINTable!AN111)</f>
        <v>92.673851546453534</v>
      </c>
      <c r="AO81" s="46">
        <f>IF(DropINTable!AO112-DropINTable!AO111&lt;0,0,+DropINTable!AO112-DropINTable!AO111)</f>
        <v>92.737223611024547</v>
      </c>
      <c r="AP81" s="46"/>
      <c r="AQ81" s="46"/>
      <c r="AR81" s="46"/>
    </row>
    <row r="82" spans="27:44">
      <c r="AB82" s="46"/>
      <c r="AC82" s="46"/>
      <c r="AD82" s="46"/>
      <c r="AE82" s="46"/>
      <c r="AF82" s="46"/>
      <c r="AG82" s="46"/>
      <c r="AH82" s="46"/>
      <c r="AI82" s="46"/>
      <c r="AJ82" s="46"/>
      <c r="AK82" s="46"/>
      <c r="AL82" s="46"/>
      <c r="AM82" s="46"/>
      <c r="AN82" s="46"/>
      <c r="AO82" s="46"/>
      <c r="AP82" s="46"/>
      <c r="AQ82" s="46"/>
      <c r="AR82" s="46"/>
    </row>
    <row r="83" spans="27:44">
      <c r="AA83" t="s">
        <v>1097</v>
      </c>
      <c r="AB83" s="46">
        <f>+DropINTable!AB116</f>
        <v>289.86128340964228</v>
      </c>
      <c r="AC83" s="46">
        <f>+DropINTable!AC116</f>
        <v>305.26496576282682</v>
      </c>
      <c r="AD83" s="46">
        <f>+DropINTable!AD116</f>
        <v>320.02382784668129</v>
      </c>
      <c r="AE83" s="46">
        <f>+DropINTable!AE116</f>
        <v>344.92229219746861</v>
      </c>
      <c r="AF83" s="46">
        <f>+DropINTable!AF116</f>
        <v>385.68131545552637</v>
      </c>
      <c r="AG83" s="46">
        <f>+DropINTable!AG116</f>
        <v>448.73341368664086</v>
      </c>
      <c r="AH83" s="46">
        <f>+DropINTable!AH116</f>
        <v>536.15672066526702</v>
      </c>
      <c r="AI83" s="46">
        <f>+DropINTable!AI116</f>
        <v>610.26782211775696</v>
      </c>
      <c r="AJ83" s="46">
        <f>+DropINTable!AJ116</f>
        <v>692.73606340302206</v>
      </c>
      <c r="AK83" s="46">
        <f>+DropINTable!AK116</f>
        <v>741.20456538782162</v>
      </c>
      <c r="AL83" s="46">
        <f>+DropINTable!AL116</f>
        <v>807.33967314509516</v>
      </c>
      <c r="AM83" s="46">
        <f>+DropINTable!AM116</f>
        <v>924.0610404218329</v>
      </c>
      <c r="AN83" s="46">
        <f>+DropINTable!AN116</f>
        <v>1096.6724951061817</v>
      </c>
      <c r="AO83" s="46">
        <f>+DropINTable!AO116</f>
        <v>1111.525890131508</v>
      </c>
      <c r="AP83" s="46"/>
      <c r="AQ83" s="46"/>
      <c r="AR83" s="46"/>
    </row>
    <row r="84" spans="27:44">
      <c r="AA84" t="s">
        <v>1186</v>
      </c>
      <c r="AB84" s="46">
        <f>IF(DropINTable!AB117-DropINTable!AB116&lt;0,0,+DropINTable!AB117-DropINTable!AB116)</f>
        <v>0</v>
      </c>
      <c r="AC84" s="46">
        <f>IF(DropINTable!AC117-DropINTable!AC116&lt;0,0,+DropINTable!AC117-DropINTable!AC116)</f>
        <v>97.369965215797549</v>
      </c>
      <c r="AD84" s="46">
        <f>IF(DropINTable!AD117-DropINTable!AD116&lt;0,0,+DropINTable!AD117-DropINTable!AD116)</f>
        <v>97.271953024463471</v>
      </c>
      <c r="AE84" s="46">
        <f>IF(DropINTable!AE117-DropINTable!AE116&lt;0,0,+DropINTable!AE117-DropINTable!AE116)</f>
        <v>97.106604244604512</v>
      </c>
      <c r="AF84" s="46">
        <f>IF(DropINTable!AF117-DropINTable!AF116&lt;0,0,+DropINTable!AF117-DropINTable!AF116)</f>
        <v>96.835929606975412</v>
      </c>
      <c r="AG84" s="46">
        <f>IF(DropINTable!AG117-DropINTable!AG116&lt;0,0,+DropINTable!AG117-DropINTable!AG116)</f>
        <v>96.417205656998078</v>
      </c>
      <c r="AH84" s="46">
        <f>IF(DropINTable!AH117-DropINTable!AH116&lt;0,0,+DropINTable!AH117-DropINTable!AH116)</f>
        <v>95.836635251538837</v>
      </c>
      <c r="AI84" s="46">
        <f>IF(DropINTable!AI117-DropINTable!AI116&lt;0,0,+DropINTable!AI117-DropINTable!AI116)</f>
        <v>95.344468938576938</v>
      </c>
      <c r="AJ84" s="46">
        <f>IF(DropINTable!AJ117-DropINTable!AJ116&lt;0,0,+DropINTable!AJ117-DropINTable!AJ116)</f>
        <v>94.796803963610273</v>
      </c>
      <c r="AK84" s="46">
        <f>IF(DropINTable!AK117-DropINTable!AK116&lt;0,0,+DropINTable!AK117-DropINTable!AK116)</f>
        <v>94.474928806692674</v>
      </c>
      <c r="AL84" s="46">
        <f>IF(DropINTable!AL117-DropINTable!AL116&lt;0,0,+DropINTable!AL117-DropINTable!AL116)</f>
        <v>94.035732225298034</v>
      </c>
      <c r="AM84" s="46">
        <f>IF(DropINTable!AM117-DropINTable!AM116&lt;0,0,+DropINTable!AM117-DropINTable!AM116)</f>
        <v>93.260598901301705</v>
      </c>
      <c r="AN84" s="46">
        <f>IF(DropINTable!AN117-DropINTable!AN116&lt;0,0,+DropINTable!AN117-DropINTable!AN116)</f>
        <v>92.114297741024984</v>
      </c>
      <c r="AO84" s="46">
        <f>IF(DropINTable!AO117-DropINTable!AO116&lt;0,0,+DropINTable!AO117-DropINTable!AO116)</f>
        <v>92.015657075740137</v>
      </c>
      <c r="AP84" s="46"/>
      <c r="AQ84" s="46"/>
      <c r="AR84" s="46"/>
    </row>
    <row r="85" spans="27:44">
      <c r="AB85" s="46"/>
      <c r="AC85" s="46"/>
      <c r="AD85" s="46"/>
      <c r="AE85" s="46"/>
      <c r="AF85" s="46"/>
      <c r="AG85" s="46"/>
      <c r="AH85" s="46"/>
      <c r="AI85" s="46"/>
      <c r="AJ85" s="46"/>
      <c r="AK85" s="46"/>
      <c r="AL85" s="46"/>
      <c r="AM85" s="46"/>
      <c r="AN85" s="46"/>
      <c r="AO85" s="46"/>
      <c r="AP85" s="46"/>
      <c r="AQ85" s="46"/>
      <c r="AR85" s="46"/>
    </row>
    <row r="86" spans="27:44">
      <c r="AB86" s="46"/>
      <c r="AC86" s="46"/>
      <c r="AD86" s="46"/>
      <c r="AE86" s="46"/>
      <c r="AF86" s="46"/>
      <c r="AG86" s="46"/>
      <c r="AH86" s="46"/>
      <c r="AI86" s="46"/>
      <c r="AJ86" s="46"/>
      <c r="AK86" s="46"/>
      <c r="AL86" s="46"/>
      <c r="AM86" s="46"/>
      <c r="AN86" s="46"/>
      <c r="AO86" s="46"/>
      <c r="AP86" s="46"/>
      <c r="AQ86" s="46"/>
      <c r="AR86" s="46"/>
    </row>
    <row r="87" spans="27:44" ht="28.5">
      <c r="AA87" s="369" t="s">
        <v>234</v>
      </c>
      <c r="AB87" s="46"/>
      <c r="AC87" s="46"/>
      <c r="AD87" s="46"/>
      <c r="AE87" s="46"/>
      <c r="AF87" s="46"/>
      <c r="AG87" s="46"/>
      <c r="AH87" s="46"/>
      <c r="AI87" s="46"/>
      <c r="AJ87" s="46"/>
      <c r="AK87" s="46"/>
      <c r="AL87" s="46"/>
      <c r="AM87" s="46"/>
      <c r="AN87" s="46"/>
      <c r="AO87" s="46"/>
      <c r="AP87" s="46"/>
      <c r="AQ87" s="46"/>
      <c r="AR87" s="46"/>
    </row>
    <row r="88" spans="27:44">
      <c r="AA88" t="s">
        <v>1086</v>
      </c>
      <c r="AB88" s="46">
        <f>+DropINTable!AB123</f>
        <v>0</v>
      </c>
      <c r="AC88" s="46">
        <f>+DropINTable!AC123</f>
        <v>557.70440269166556</v>
      </c>
      <c r="AD88" s="46">
        <f>+DropINTable!AD123</f>
        <v>572.43785090500467</v>
      </c>
      <c r="AE88" s="46">
        <f>+DropINTable!AE123</f>
        <v>597.29344143348078</v>
      </c>
      <c r="AF88" s="46">
        <f>+DropINTable!AF123</f>
        <v>637.98227996683636</v>
      </c>
      <c r="AG88" s="46">
        <f>+DropINTable!AG123</f>
        <v>700.92580550795799</v>
      </c>
      <c r="AH88" s="46">
        <f>+DropINTable!AH123</f>
        <v>788.19857471746025</v>
      </c>
      <c r="AI88" s="46">
        <f>+DropINTable!AI123</f>
        <v>862.18205996509164</v>
      </c>
      <c r="AJ88" s="46">
        <f>+DropINTable!AJ123</f>
        <v>944.50829601829446</v>
      </c>
      <c r="AK88" s="46">
        <f>+DropINTable!AK123</f>
        <v>992.8933359243216</v>
      </c>
      <c r="AL88" s="46">
        <f>+DropINTable!AL123</f>
        <v>1058.9145643719737</v>
      </c>
      <c r="AM88" s="46">
        <f>+DropINTable!AM123</f>
        <v>1175.4349440075907</v>
      </c>
      <c r="AN88" s="46">
        <f>+DropINTable!AN123</f>
        <v>1347.749169730128</v>
      </c>
      <c r="AO88" s="46">
        <f>+DropINTable!AO123</f>
        <v>1362.5769887565523</v>
      </c>
      <c r="AP88" s="46"/>
      <c r="AQ88" s="46"/>
      <c r="AR88" s="46"/>
    </row>
    <row r="89" spans="27:44">
      <c r="AA89" t="s">
        <v>1186</v>
      </c>
      <c r="AB89" s="46">
        <f>IF(DropINTable!AB124-DropINTable!AB123&lt;0,0,+DropINTable!AB124-DropINTable!AB123)</f>
        <v>0</v>
      </c>
      <c r="AC89" s="46">
        <f>IF(DropINTable!AC124-DropINTable!AC123&lt;0,0,+DropINTable!AC124-DropINTable!AC123)</f>
        <v>0</v>
      </c>
      <c r="AD89" s="46">
        <f>IF(DropINTable!AD124-DropINTable!AD123&lt;0,0,+DropINTable!AD124-DropINTable!AD123)</f>
        <v>89.275658783241738</v>
      </c>
      <c r="AE89" s="46">
        <f>IF(DropINTable!AE124-DropINTable!AE123&lt;0,0,+DropINTable!AE124-DropINTable!AE123)</f>
        <v>89.381889288584034</v>
      </c>
      <c r="AF89" s="46">
        <f>IF(DropINTable!AF124-DropINTable!AF123&lt;0,0,+DropINTable!AF124-DropINTable!AF123)</f>
        <v>89.555789227424611</v>
      </c>
      <c r="AG89" s="46">
        <f>IF(DropINTable!AG124-DropINTable!AG123&lt;0,0,+DropINTable!AG124-DropINTable!AG123)</f>
        <v>89.824803003048942</v>
      </c>
      <c r="AH89" s="46">
        <f>IF(DropINTable!AH124-DropINTable!AH123&lt;0,0,+DropINTable!AH124-DropINTable!AH123)</f>
        <v>90.197796926620299</v>
      </c>
      <c r="AI89" s="46">
        <f>IF(DropINTable!AI124-DropINTable!AI123&lt;0,0,+DropINTable!AI124-DropINTable!AI123)</f>
        <v>90.513995056594013</v>
      </c>
      <c r="AJ89" s="46">
        <f>IF(DropINTable!AJ124-DropINTable!AJ123&lt;0,0,+DropINTable!AJ124-DropINTable!AJ123)</f>
        <v>90.865849242091144</v>
      </c>
      <c r="AK89" s="46">
        <f>IF(DropINTable!AK124-DropINTable!AK123&lt;0,0,+DropINTable!AK124-DropINTable!AK123)</f>
        <v>91.072643313208232</v>
      </c>
      <c r="AL89" s="46">
        <f>IF(DropINTable!AL124-DropINTable!AL123&lt;0,0,+DropINTable!AL124-DropINTable!AL123)</f>
        <v>91.354807803544418</v>
      </c>
      <c r="AM89" s="46">
        <f>IF(DropINTable!AM124-DropINTable!AM123&lt;0,0,+DropINTable!AM124-DropINTable!AM123)</f>
        <v>91.852805826141093</v>
      </c>
      <c r="AN89" s="46">
        <f>IF(DropINTable!AN124-DropINTable!AN123&lt;0,0,+DropINTable!AN124-DropINTable!AN123)</f>
        <v>92.589259014874415</v>
      </c>
      <c r="AO89" s="46">
        <f>IF(DropINTable!AO124-DropINTable!AO123&lt;0,0,+DropINTable!AO124-DropINTable!AO123)</f>
        <v>92.652631668142249</v>
      </c>
      <c r="AP89" s="46"/>
      <c r="AQ89" s="46"/>
      <c r="AR89" s="46"/>
    </row>
    <row r="90" spans="27:44">
      <c r="AB90" s="46"/>
      <c r="AC90" s="46"/>
      <c r="AD90" s="46"/>
      <c r="AE90" s="46"/>
      <c r="AF90" s="46"/>
      <c r="AG90" s="46"/>
      <c r="AH90" s="46"/>
      <c r="AI90" s="46"/>
      <c r="AJ90" s="46"/>
      <c r="AK90" s="46"/>
      <c r="AL90" s="46"/>
      <c r="AM90" s="46"/>
      <c r="AN90" s="46"/>
      <c r="AO90" s="46"/>
      <c r="AP90" s="46"/>
      <c r="AQ90" s="46"/>
      <c r="AR90" s="46"/>
    </row>
    <row r="91" spans="27:44">
      <c r="AA91" t="s">
        <v>1097</v>
      </c>
      <c r="AB91" s="46">
        <f>+DropINTable!AB128</f>
        <v>270.03434798261895</v>
      </c>
      <c r="AC91" s="46">
        <f>+DropINTable!AC128</f>
        <v>285.43802976890942</v>
      </c>
      <c r="AD91" s="46">
        <f>+DropINTable!AD128</f>
        <v>300.19689189590986</v>
      </c>
      <c r="AE91" s="46">
        <f>+DropINTable!AE128</f>
        <v>325.09535646992475</v>
      </c>
      <c r="AF91" s="46">
        <f>+DropINTable!AF128</f>
        <v>365.85438019633494</v>
      </c>
      <c r="AG91" s="46">
        <f>+DropINTable!AG128</f>
        <v>428.90647777385476</v>
      </c>
      <c r="AH91" s="46">
        <f>+DropINTable!AH128</f>
        <v>516.32978512938996</v>
      </c>
      <c r="AI91" s="46">
        <f>+DropINTable!AI128</f>
        <v>590.44088682344443</v>
      </c>
      <c r="AJ91" s="46">
        <f>+DropINTable!AJ128</f>
        <v>672.90912739943519</v>
      </c>
      <c r="AK91" s="46">
        <f>+DropINTable!AK128</f>
        <v>721.37762869209269</v>
      </c>
      <c r="AL91" s="46">
        <f>+DropINTable!AL128</f>
        <v>787.51273816258936</v>
      </c>
      <c r="AM91" s="46">
        <f>+DropINTable!AM128</f>
        <v>904.23410520632854</v>
      </c>
      <c r="AN91" s="46">
        <f>+DropINTable!AN128</f>
        <v>1076.8455590340659</v>
      </c>
      <c r="AO91" s="46">
        <f>+DropINTable!AO128</f>
        <v>1091.6989537236002</v>
      </c>
      <c r="AP91" s="46"/>
      <c r="AQ91" s="46"/>
      <c r="AR91" s="46"/>
    </row>
    <row r="92" spans="27:44">
      <c r="AA92" t="s">
        <v>1186</v>
      </c>
      <c r="AB92" s="46">
        <f>IF(DropINTable!AB129-DropINTable!AB128&lt;0,0,+DropINTable!AB129-DropINTable!AB128)</f>
        <v>0</v>
      </c>
      <c r="AC92" s="46">
        <f>IF(DropINTable!AC129-DropINTable!AC128&lt;0,0,+DropINTable!AC129-DropINTable!AC128)</f>
        <v>97.501636125927973</v>
      </c>
      <c r="AD92" s="46">
        <f>IF(DropINTable!AD129-DropINTable!AD128&lt;0,0,+DropINTable!AD129-DropINTable!AD128)</f>
        <v>97.40362364915876</v>
      </c>
      <c r="AE92" s="46">
        <f>IF(DropINTable!AE129-DropINTable!AE128&lt;0,0,+DropINTable!AE129-DropINTable!AE128)</f>
        <v>97.238274444164688</v>
      </c>
      <c r="AF92" s="46">
        <f>IF(DropINTable!AF129-DropINTable!AF128&lt;0,0,+DropINTable!AF129-DropINTable!AF128)</f>
        <v>96.967595572606797</v>
      </c>
      <c r="AG92" s="46">
        <f>IF(DropINTable!AG129-DropINTable!AG128&lt;0,0,+DropINTable!AG129-DropINTable!AG128)</f>
        <v>96.548873629004959</v>
      </c>
      <c r="AH92" s="46">
        <f>IF(DropINTable!AH129-DropINTable!AH128&lt;0,0,+DropINTable!AH129-DropINTable!AH128)</f>
        <v>95.968303331214884</v>
      </c>
      <c r="AI92" s="46">
        <f>IF(DropINTable!AI129-DropINTable!AI128&lt;0,0,+DropINTable!AI129-DropINTable!AI128)</f>
        <v>95.476135847913611</v>
      </c>
      <c r="AJ92" s="46">
        <f>IF(DropINTable!AJ129-DropINTable!AJ128&lt;0,0,+DropINTable!AJ129-DropINTable!AJ128)</f>
        <v>94.928473682060144</v>
      </c>
      <c r="AK92" s="46">
        <f>IF(DropINTable!AK129-DropINTable!AK128&lt;0,0,+DropINTable!AK129-DropINTable!AK128)</f>
        <v>94.606599782625835</v>
      </c>
      <c r="AL92" s="46">
        <f>IF(DropINTable!AL129-DropINTable!AL128&lt;0,0,+DropINTable!AL129-DropINTable!AL128)</f>
        <v>94.167401972586276</v>
      </c>
      <c r="AM92" s="46">
        <f>IF(DropINTable!AM129-DropINTable!AM128&lt;0,0,+DropINTable!AM129-DropINTable!AM128)</f>
        <v>93.392266054882157</v>
      </c>
      <c r="AN92" s="46">
        <f>IF(DropINTable!AN129-DropINTable!AN128&lt;0,0,+DropINTable!AN129-DropINTable!AN128)</f>
        <v>92.245966639610515</v>
      </c>
      <c r="AO92" s="46">
        <f>IF(DropINTable!AO129-DropINTable!AO128&lt;0,0,+DropINTable!AO129-DropINTable!AO128)</f>
        <v>92.147327440799927</v>
      </c>
      <c r="AP92" s="46"/>
      <c r="AQ92" s="46"/>
      <c r="AR92" s="46"/>
    </row>
    <row r="93" spans="27:44">
      <c r="AP93" s="46"/>
      <c r="AQ93" s="46"/>
      <c r="AR93" s="46"/>
    </row>
    <row r="94" spans="27:44">
      <c r="AP94" s="46"/>
      <c r="AQ94" s="46"/>
      <c r="AR94" s="46"/>
    </row>
    <row r="95" spans="27:44" ht="28.5">
      <c r="AA95" s="369" t="s">
        <v>242</v>
      </c>
      <c r="AB95" s="46"/>
      <c r="AC95" s="46"/>
      <c r="AD95" s="46"/>
      <c r="AE95" s="46"/>
      <c r="AF95" s="46"/>
      <c r="AG95" s="46"/>
      <c r="AH95" s="46"/>
      <c r="AI95" s="46"/>
      <c r="AJ95" s="46"/>
      <c r="AK95" s="46"/>
      <c r="AL95" s="46"/>
      <c r="AM95" s="46"/>
      <c r="AN95" s="46"/>
      <c r="AO95" s="46"/>
      <c r="AP95" s="46"/>
      <c r="AQ95" s="46"/>
      <c r="AR95" s="46"/>
    </row>
    <row r="96" spans="27:44">
      <c r="AA96" t="s">
        <v>1086</v>
      </c>
      <c r="AB96" s="46">
        <f>+DropINTable!AB135</f>
        <v>0</v>
      </c>
      <c r="AC96" s="46">
        <f>+DropINTable!AC135</f>
        <v>609.70019552407302</v>
      </c>
      <c r="AD96" s="46">
        <f>+DropINTable!AD135</f>
        <v>624.4336435553663</v>
      </c>
      <c r="AE96" s="46">
        <f>+DropINTable!AE135</f>
        <v>649.28923403116551</v>
      </c>
      <c r="AF96" s="46">
        <f>+DropINTable!AF135</f>
        <v>689.9780728077651</v>
      </c>
      <c r="AG96" s="46">
        <f>+DropINTable!AG135</f>
        <v>752.92159871607714</v>
      </c>
      <c r="AH96" s="46">
        <f>+DropINTable!AH135</f>
        <v>840.19436773036443</v>
      </c>
      <c r="AI96" s="46">
        <f>+DropINTable!AI135</f>
        <v>914.17785327856484</v>
      </c>
      <c r="AJ96" s="46">
        <f>+DropINTable!AJ135</f>
        <v>996.50408847653955</v>
      </c>
      <c r="AK96" s="46">
        <f>+DropINTable!AK135</f>
        <v>1044.8891281718584</v>
      </c>
      <c r="AL96" s="46">
        <f>+DropINTable!AL135</f>
        <v>1110.9103570595191</v>
      </c>
      <c r="AM96" s="46">
        <f>+DropINTable!AM135</f>
        <v>1227.4307372838803</v>
      </c>
      <c r="AN96" s="46">
        <f>+DropINTable!AN135</f>
        <v>1399.7449623371085</v>
      </c>
      <c r="AO96" s="46">
        <f>+DropINTable!AO135</f>
        <v>1414.57278127677</v>
      </c>
      <c r="AP96" s="46"/>
      <c r="AQ96" s="46"/>
      <c r="AR96" s="46"/>
    </row>
    <row r="97" spans="27:44">
      <c r="AA97" t="s">
        <v>1186</v>
      </c>
      <c r="AB97" s="46">
        <f>IF(DropINTable!AB136-DropINTable!AB135&lt;0,0,+DropINTable!AB136-DropINTable!AB135)</f>
        <v>0</v>
      </c>
      <c r="AC97" s="46">
        <f>IF(DropINTable!AC136-DropINTable!AC135&lt;0,0,+DropINTable!AC136-DropINTable!AC135)</f>
        <v>0</v>
      </c>
      <c r="AD97" s="46">
        <f>IF(DropINTable!AD136-DropINTable!AD135&lt;0,0,+DropINTable!AD136-DropINTable!AD135)</f>
        <v>89.497881731410075</v>
      </c>
      <c r="AE97" s="46">
        <f>IF(DropINTable!AE136-DropINTable!AE135&lt;0,0,+DropINTable!AE136-DropINTable!AE135)</f>
        <v>89.604112595680704</v>
      </c>
      <c r="AF97" s="46">
        <f>IF(DropINTable!AF136-DropINTable!AF135&lt;0,0,+DropINTable!AF136-DropINTable!AF135)</f>
        <v>89.778013643266149</v>
      </c>
      <c r="AG97" s="46">
        <f>IF(DropINTable!AG136-DropINTable!AG135&lt;0,0,+DropINTable!AG136-DropINTable!AG135)</f>
        <v>90.047027589507366</v>
      </c>
      <c r="AH97" s="46">
        <f>IF(DropINTable!AH136-DropINTable!AH135&lt;0,0,+DropINTable!AH136-DropINTable!AH135)</f>
        <v>90.420022365614614</v>
      </c>
      <c r="AI97" s="46">
        <f>IF(DropINTable!AI136-DropINTable!AI135&lt;0,0,+DropINTable!AI136-DropINTable!AI135)</f>
        <v>90.736219522759484</v>
      </c>
      <c r="AJ97" s="46">
        <f>IF(DropINTable!AJ136-DropINTable!AJ135&lt;0,0,+DropINTable!AJ136-DropINTable!AJ135)</f>
        <v>91.088073876286103</v>
      </c>
      <c r="AK97" s="46">
        <f>IF(DropINTable!AK136-DropINTable!AK135&lt;0,0,+DropINTable!AK136-DropINTable!AK135)</f>
        <v>91.294867261765376</v>
      </c>
      <c r="AL97" s="46">
        <f>IF(DropINTable!AL136-DropINTable!AL135&lt;0,0,+DropINTable!AL136-DropINTable!AL135)</f>
        <v>91.577033373688892</v>
      </c>
      <c r="AM97" s="46">
        <f>IF(DropINTable!AM136-DropINTable!AM135&lt;0,0,+DropINTable!AM136-DropINTable!AM135)</f>
        <v>92.075029492900512</v>
      </c>
      <c r="AN97" s="46">
        <f>IF(DropINTable!AN136-DropINTable!AN135&lt;0,0,+DropINTable!AN136-DropINTable!AN135)</f>
        <v>92.811483321064543</v>
      </c>
      <c r="AO97" s="46">
        <f>IF(DropINTable!AO136-DropINTable!AO135&lt;0,0,+DropINTable!AO136-DropINTable!AO135)</f>
        <v>92.874856718415685</v>
      </c>
      <c r="AP97" s="46"/>
      <c r="AQ97" s="46"/>
      <c r="AR97" s="46"/>
    </row>
    <row r="98" spans="27:44">
      <c r="AB98" s="46"/>
      <c r="AC98" s="46"/>
      <c r="AD98" s="46"/>
      <c r="AE98" s="46"/>
      <c r="AF98" s="46"/>
      <c r="AG98" s="46"/>
      <c r="AH98" s="46"/>
      <c r="AI98" s="46"/>
      <c r="AJ98" s="46"/>
      <c r="AK98" s="46"/>
      <c r="AL98" s="46"/>
      <c r="AM98" s="46"/>
      <c r="AN98" s="46"/>
      <c r="AO98" s="46"/>
      <c r="AP98" s="46"/>
      <c r="AQ98" s="46"/>
    </row>
    <row r="99" spans="27:44">
      <c r="AA99" t="s">
        <v>1097</v>
      </c>
      <c r="AB99" s="46">
        <f>+DropINTable!AB140</f>
        <v>322.11982905669964</v>
      </c>
      <c r="AC99" s="46">
        <f>+DropINTable!AC140</f>
        <v>337.52351104861827</v>
      </c>
      <c r="AD99" s="46">
        <f>+DropINTable!AD140</f>
        <v>352.28237314035619</v>
      </c>
      <c r="AE99" s="46">
        <f>+DropINTable!AE140</f>
        <v>377.18083748814547</v>
      </c>
      <c r="AF99" s="46">
        <f>+DropINTable!AF140</f>
        <v>417.93986107128728</v>
      </c>
      <c r="AG99" s="46">
        <f>+DropINTable!AG140</f>
        <v>480.99195883297864</v>
      </c>
      <c r="AH99" s="46">
        <f>+DropINTable!AH140</f>
        <v>568.41526586471468</v>
      </c>
      <c r="AI99" s="46">
        <f>+DropINTable!AI140</f>
        <v>642.5263676667023</v>
      </c>
      <c r="AJ99" s="46">
        <f>+DropINTable!AJ140</f>
        <v>724.99460854422011</v>
      </c>
      <c r="AK99" s="46">
        <f>+DropINTable!AK140</f>
        <v>773.4631102823156</v>
      </c>
      <c r="AL99" s="46">
        <f>+DropINTable!AL140</f>
        <v>839.59821938275616</v>
      </c>
      <c r="AM99" s="46">
        <f>+DropINTable!AM140</f>
        <v>956.31958691990371</v>
      </c>
      <c r="AN99" s="46">
        <f>+DropINTable!AN140</f>
        <v>1128.9310411862261</v>
      </c>
      <c r="AO99" s="46">
        <f>+DropINTable!AO140</f>
        <v>1143.7844348546796</v>
      </c>
      <c r="AP99" s="46"/>
      <c r="AQ99" s="46"/>
    </row>
    <row r="100" spans="27:44">
      <c r="AA100" t="s">
        <v>1186</v>
      </c>
      <c r="AB100" s="46">
        <f>IF(DropINTable!AB141-DropINTable!AB140&lt;0,0,+DropINTable!AB141-DropINTable!AB140)</f>
        <v>0</v>
      </c>
      <c r="AC100" s="46">
        <f>IF(DropINTable!AC141-DropINTable!AC140&lt;0,0,+DropINTable!AC141-DropINTable!AC140)</f>
        <v>97.155740330007461</v>
      </c>
      <c r="AD100" s="46">
        <f>IF(DropINTable!AD141-DropINTable!AD140&lt;0,0,+DropINTable!AD141-DropINTable!AD140)</f>
        <v>97.057728100503709</v>
      </c>
      <c r="AE100" s="46">
        <f>IF(DropINTable!AE141-DropINTable!AE140&lt;0,0,+DropINTable!AE141-DropINTable!AE140)</f>
        <v>96.892380111082389</v>
      </c>
      <c r="AF100" s="46">
        <f>IF(DropINTable!AF141-DropINTable!AF140&lt;0,0,+DropINTable!AF141-DropINTable!AF140)</f>
        <v>96.621700484304142</v>
      </c>
      <c r="AG100" s="46">
        <f>IF(DropINTable!AG141-DropINTable!AG140&lt;0,0,+DropINTable!AG141-DropINTable!AG140)</f>
        <v>96.202979648739301</v>
      </c>
      <c r="AH100" s="46">
        <f>IF(DropINTable!AH141-DropINTable!AH140&lt;0,0,+DropINTable!AH141-DropINTable!AH140)</f>
        <v>95.62240842292158</v>
      </c>
      <c r="AI100" s="46">
        <f>IF(DropINTable!AI141-DropINTable!AI140&lt;0,0,+DropINTable!AI141-DropINTable!AI140)</f>
        <v>95.130242123895414</v>
      </c>
      <c r="AJ100" s="46">
        <f>IF(DropINTable!AJ141-DropINTable!AJ140&lt;0,0,+DropINTable!AJ141-DropINTable!AJ140)</f>
        <v>94.582578323924963</v>
      </c>
      <c r="AK100" s="46">
        <f>IF(DropINTable!AK141-DropINTable!AK140&lt;0,0,+DropINTable!AK141-DropINTable!AK140)</f>
        <v>94.260701152346428</v>
      </c>
      <c r="AL100" s="46">
        <f>IF(DropINTable!AL141-DropINTable!AL140&lt;0,0,+DropINTable!AL141-DropINTable!AL140)</f>
        <v>93.821503954652144</v>
      </c>
      <c r="AM100" s="46">
        <f>IF(DropINTable!AM141-DropINTable!AM140&lt;0,0,+DropINTable!AM141-DropINTable!AM140)</f>
        <v>93.046368835748126</v>
      </c>
      <c r="AN100" s="46">
        <f>IF(DropINTable!AN141-DropINTable!AN140&lt;0,0,+DropINTable!AN141-DropINTable!AN140)</f>
        <v>91.900069143417568</v>
      </c>
      <c r="AO100" s="46">
        <f>IF(DropINTable!AO141-DropINTable!AO140&lt;0,0,+DropINTable!AO141-DropINTable!AO140)</f>
        <v>91.801432096370263</v>
      </c>
      <c r="AP100" s="46"/>
      <c r="AQ100" s="46"/>
      <c r="AR100" s="46"/>
    </row>
    <row r="101" spans="27:44">
      <c r="AP101" s="46"/>
      <c r="AQ101" s="46"/>
      <c r="AR101" s="46"/>
    </row>
    <row r="102" spans="27:44">
      <c r="AP102" s="46"/>
      <c r="AQ102" s="46"/>
      <c r="AR102" s="46"/>
    </row>
    <row r="103" spans="27:44" ht="28.5">
      <c r="AA103" s="369" t="s">
        <v>235</v>
      </c>
      <c r="AB103" s="46"/>
      <c r="AC103" s="46"/>
      <c r="AD103" s="46"/>
      <c r="AE103" s="46"/>
      <c r="AF103" s="46"/>
      <c r="AG103" s="46"/>
      <c r="AH103" s="46"/>
      <c r="AI103" s="46"/>
      <c r="AJ103" s="46"/>
      <c r="AK103" s="46"/>
      <c r="AL103" s="46"/>
      <c r="AM103" s="46"/>
      <c r="AN103" s="46"/>
      <c r="AO103" s="46"/>
      <c r="AP103" s="46"/>
      <c r="AQ103" s="46"/>
      <c r="AR103" s="46"/>
    </row>
    <row r="104" spans="27:44">
      <c r="AA104" t="s">
        <v>1086</v>
      </c>
      <c r="AB104" s="46">
        <f>+DropINTable!AB147</f>
        <v>0</v>
      </c>
      <c r="AC104" s="46">
        <f>+DropINTable!AC147</f>
        <v>613.89756817400064</v>
      </c>
      <c r="AD104" s="46">
        <f>+DropINTable!AD147</f>
        <v>628.63101625487241</v>
      </c>
      <c r="AE104" s="46">
        <f>+DropINTable!AE147</f>
        <v>653.4866066671492</v>
      </c>
      <c r="AF104" s="46">
        <f>+DropINTable!AF147</f>
        <v>694.1754453740291</v>
      </c>
      <c r="AG104" s="46">
        <f>+DropINTable!AG147</f>
        <v>757.11897151474011</v>
      </c>
      <c r="AH104" s="46">
        <f>+DropINTable!AH147</f>
        <v>844.39174039268642</v>
      </c>
      <c r="AI104" s="46">
        <f>+DropINTable!AI147</f>
        <v>918.37522683329928</v>
      </c>
      <c r="AJ104" s="46">
        <f>+DropINTable!AJ147</f>
        <v>1000.7014613123863</v>
      </c>
      <c r="AK104" s="46">
        <f>+DropINTable!AK147</f>
        <v>1049.0865024392829</v>
      </c>
      <c r="AL104" s="46">
        <f>+DropINTable!AL147</f>
        <v>1115.1077294429626</v>
      </c>
      <c r="AM104" s="46">
        <f>+DropINTable!AM147</f>
        <v>1231.6281096859157</v>
      </c>
      <c r="AN104" s="46">
        <f>+DropINTable!AN147</f>
        <v>1403.9423346399872</v>
      </c>
      <c r="AO104" s="46">
        <f>+DropINTable!AO147</f>
        <v>1418.7701531458374</v>
      </c>
      <c r="AP104" s="46"/>
      <c r="AQ104" s="46"/>
      <c r="AR104" s="46"/>
    </row>
    <row r="105" spans="27:44">
      <c r="AA105" t="s">
        <v>1186</v>
      </c>
      <c r="AB105" s="46">
        <f>IF(DropINTable!AB148-DropINTable!AB147&lt;0,0,+DropINTable!AB148-DropINTable!AB147)</f>
        <v>0</v>
      </c>
      <c r="AC105" s="46">
        <f>IF(DropINTable!AC148-DropINTable!AC147&lt;0,0,+DropINTable!AC148-DropINTable!AC147)</f>
        <v>0</v>
      </c>
      <c r="AD105" s="46">
        <f>IF(DropINTable!AD148-DropINTable!AD147&lt;0,0,+DropINTable!AD148-DropINTable!AD147)</f>
        <v>89.51582277891589</v>
      </c>
      <c r="AE105" s="46">
        <f>IF(DropINTable!AE148-DropINTable!AE147&lt;0,0,+DropINTable!AE148-DropINTable!AE147)</f>
        <v>89.622052459294082</v>
      </c>
      <c r="AF105" s="46">
        <f>IF(DropINTable!AF148-DropINTable!AF147&lt;0,0,+DropINTable!AF148-DropINTable!AF147)</f>
        <v>89.795952441227314</v>
      </c>
      <c r="AG105" s="46">
        <f>IF(DropINTable!AG148-DropINTable!AG147&lt;0,0,+DropINTable!AG148-DropINTable!AG147)</f>
        <v>90.064967813310091</v>
      </c>
      <c r="AH105" s="46">
        <f>IF(DropINTable!AH148-DropINTable!AH147&lt;0,0,+DropINTable!AH148-DropINTable!AH147)</f>
        <v>90.437961172091491</v>
      </c>
      <c r="AI105" s="46">
        <f>IF(DropINTable!AI148-DropINTable!AI147&lt;0,0,+DropINTable!AI148-DropINTable!AI147)</f>
        <v>90.754158228596452</v>
      </c>
      <c r="AJ105" s="46">
        <f>IF(DropINTable!AJ148-DropINTable!AJ147&lt;0,0,+DropINTable!AJ148-DropINTable!AJ147)</f>
        <v>91.106013928452967</v>
      </c>
      <c r="AK105" s="46">
        <f>IF(DropINTable!AK148-DropINTable!AK147&lt;0,0,+DropINTable!AK148-DropINTable!AK147)</f>
        <v>91.312804627469859</v>
      </c>
      <c r="AL105" s="46">
        <f>IF(DropINTable!AL148-DropINTable!AL147&lt;0,0,+DropINTable!AL148-DropINTable!AL147)</f>
        <v>91.594973071547656</v>
      </c>
      <c r="AM105" s="46">
        <f>IF(DropINTable!AM148-DropINTable!AM147&lt;0,0,+DropINTable!AM148-DropINTable!AM147)</f>
        <v>92.092970516686364</v>
      </c>
      <c r="AN105" s="46">
        <f>IF(DropINTable!AN148-DropINTable!AN147&lt;0,0,+DropINTable!AN148-DropINTable!AN147)</f>
        <v>92.829422113507235</v>
      </c>
      <c r="AO105" s="46">
        <f>IF(DropINTable!AO148-DropINTable!AO147&lt;0,0,+DropINTable!AO148-DropINTable!AO147)</f>
        <v>92.892795884913312</v>
      </c>
      <c r="AP105" s="46"/>
      <c r="AQ105" s="46"/>
      <c r="AR105" s="46"/>
    </row>
    <row r="106" spans="27:44">
      <c r="AB106" s="46"/>
      <c r="AC106" s="46"/>
      <c r="AD106" s="46"/>
      <c r="AE106" s="46"/>
      <c r="AF106" s="46"/>
      <c r="AG106" s="46"/>
      <c r="AH106" s="46"/>
      <c r="AI106" s="46"/>
      <c r="AJ106" s="46"/>
      <c r="AK106" s="46"/>
      <c r="AL106" s="46"/>
      <c r="AM106" s="46"/>
      <c r="AN106" s="46"/>
      <c r="AO106" s="46"/>
      <c r="AP106" s="46"/>
      <c r="AQ106" s="46"/>
      <c r="AR106" s="46"/>
    </row>
    <row r="107" spans="27:44">
      <c r="AA107" t="s">
        <v>1097</v>
      </c>
      <c r="AB107" s="46">
        <f>+DropINTable!AB152</f>
        <v>326.32444178665497</v>
      </c>
      <c r="AC107" s="46">
        <f>+DropINTable!AC152</f>
        <v>341.72812394162435</v>
      </c>
      <c r="AD107" s="46">
        <f>+DropINTable!AD152</f>
        <v>356.48698620104398</v>
      </c>
      <c r="AE107" s="46">
        <f>+DropINTable!AE152</f>
        <v>381.38545051585368</v>
      </c>
      <c r="AF107" s="46">
        <f>+DropINTable!AF152</f>
        <v>422.1444742626083</v>
      </c>
      <c r="AG107" s="46">
        <f>+DropINTable!AG152</f>
        <v>485.19657196433684</v>
      </c>
      <c r="AH107" s="46">
        <f>+DropINTable!AH152</f>
        <v>572.61987939525386</v>
      </c>
      <c r="AI107" s="46">
        <f>+DropINTable!AI152</f>
        <v>646.73098063873067</v>
      </c>
      <c r="AJ107" s="46">
        <f>+DropINTable!AJ152</f>
        <v>729.19922167386505</v>
      </c>
      <c r="AK107" s="46">
        <f>+DropINTable!AK152</f>
        <v>777.66772312413912</v>
      </c>
      <c r="AL107" s="46">
        <f>+DropINTable!AL152</f>
        <v>843.80283171061274</v>
      </c>
      <c r="AM107" s="46">
        <f>+DropINTable!AM152</f>
        <v>960.52419911070251</v>
      </c>
      <c r="AN107" s="46">
        <f>+DropINTable!AN152</f>
        <v>1133.1356537333752</v>
      </c>
      <c r="AO107" s="46">
        <f>+DropINTable!AO152</f>
        <v>1147.9890487655543</v>
      </c>
      <c r="AP107" s="46"/>
      <c r="AQ107" s="46"/>
      <c r="AR107" s="46"/>
    </row>
    <row r="108" spans="27:44">
      <c r="AA108" t="s">
        <v>1186</v>
      </c>
      <c r="AB108" s="46">
        <f>IF(DropINTable!AB153-DropINTable!AB152&lt;0,0,+DropINTable!AB153-DropINTable!AB152)</f>
        <v>0</v>
      </c>
      <c r="AC108" s="46">
        <f>IF(DropINTable!AC153-DropINTable!AC152&lt;0,0,+DropINTable!AC153-DropINTable!AC152)</f>
        <v>97.127817218522068</v>
      </c>
      <c r="AD108" s="46">
        <f>IF(DropINTable!AD153-DropINTable!AD152&lt;0,0,+DropINTable!AD153-DropINTable!AD152)</f>
        <v>97.029804912195061</v>
      </c>
      <c r="AE108" s="46">
        <f>IF(DropINTable!AE153-DropINTable!AE152&lt;0,0,+DropINTable!AE153-DropINTable!AE152)</f>
        <v>96.864455865452385</v>
      </c>
      <c r="AF108" s="46">
        <f>IF(DropINTable!AF153-DropINTable!AF152&lt;0,0,+DropINTable!AF153-DropINTable!AF152)</f>
        <v>96.593780698744865</v>
      </c>
      <c r="AG108" s="46">
        <f>IF(DropINTable!AG153-DropINTable!AG152&lt;0,0,+DropINTable!AG153-DropINTable!AG152)</f>
        <v>96.175057157008951</v>
      </c>
      <c r="AH108" s="46">
        <f>IF(DropINTable!AH153-DropINTable!AH152&lt;0,0,+DropINTable!AH153-DropINTable!AH152)</f>
        <v>95.594486420403541</v>
      </c>
      <c r="AI108" s="46">
        <f>IF(DropINTable!AI153-DropINTable!AI152&lt;0,0,+DropINTable!AI153-DropINTable!AI152)</f>
        <v>95.102320114546956</v>
      </c>
      <c r="AJ108" s="46">
        <f>IF(DropINTable!AJ153-DropINTable!AJ152&lt;0,0,+DropINTable!AJ153-DropINTable!AJ152)</f>
        <v>94.554654460936376</v>
      </c>
      <c r="AK108" s="46">
        <f>IF(DropINTable!AK153-DropINTable!AK152&lt;0,0,+DropINTable!AK153-DropINTable!AK152)</f>
        <v>94.232779515492098</v>
      </c>
      <c r="AL108" s="46">
        <f>IF(DropINTable!AL153-DropINTable!AL152&lt;0,0,+DropINTable!AL153-DropINTable!AL152)</f>
        <v>93.793584527788425</v>
      </c>
      <c r="AM108" s="46">
        <f>IF(DropINTable!AM153-DropINTable!AM152&lt;0,0,+DropINTable!AM153-DropINTable!AM152)</f>
        <v>93.018449303652915</v>
      </c>
      <c r="AN108" s="46">
        <f>IF(DropINTable!AN153-DropINTable!AN152&lt;0,0,+DropINTable!AN153-DropINTable!AN152)</f>
        <v>91.872148689630876</v>
      </c>
      <c r="AO108" s="46">
        <f>IF(DropINTable!AO153-DropINTable!AO152&lt;0,0,+DropINTable!AO153-DropINTable!AO152)</f>
        <v>91.77350866359734</v>
      </c>
      <c r="AP108" s="46"/>
      <c r="AQ108" s="46"/>
      <c r="AR108" s="46"/>
    </row>
    <row r="109" spans="27:44">
      <c r="AB109" s="46"/>
      <c r="AC109" s="46"/>
      <c r="AD109" s="46"/>
      <c r="AE109" s="46"/>
      <c r="AF109" s="46"/>
      <c r="AG109" s="46"/>
      <c r="AH109" s="46"/>
      <c r="AI109" s="46"/>
      <c r="AJ109" s="46"/>
      <c r="AK109" s="46"/>
      <c r="AL109" s="46"/>
      <c r="AM109" s="46"/>
      <c r="AN109" s="46"/>
      <c r="AO109" s="46"/>
      <c r="AP109" s="46"/>
      <c r="AQ109" s="46"/>
      <c r="AR109" s="46"/>
    </row>
    <row r="110" spans="27:44">
      <c r="AB110" s="46"/>
      <c r="AC110" s="46"/>
      <c r="AD110" s="46"/>
      <c r="AE110" s="46"/>
      <c r="AF110" s="46"/>
      <c r="AG110" s="46"/>
      <c r="AH110" s="46"/>
      <c r="AI110" s="46"/>
      <c r="AJ110" s="46"/>
      <c r="AK110" s="46"/>
      <c r="AL110" s="46"/>
      <c r="AM110" s="46"/>
      <c r="AN110" s="46"/>
      <c r="AO110" s="46"/>
      <c r="AP110" s="46"/>
      <c r="AQ110" s="46"/>
      <c r="AR110" s="46"/>
    </row>
    <row r="111" spans="27:44" ht="28.5">
      <c r="AA111" s="369" t="s">
        <v>241</v>
      </c>
      <c r="AB111" s="46"/>
      <c r="AC111" s="46"/>
      <c r="AD111" s="46"/>
      <c r="AE111" s="46"/>
      <c r="AF111" s="46"/>
      <c r="AG111" s="46"/>
      <c r="AH111" s="46"/>
      <c r="AI111" s="46"/>
      <c r="AJ111" s="46"/>
      <c r="AK111" s="46"/>
      <c r="AL111" s="46"/>
      <c r="AM111" s="46"/>
      <c r="AN111" s="46"/>
      <c r="AO111" s="46"/>
      <c r="AP111" s="46"/>
      <c r="AQ111" s="46"/>
      <c r="AR111" s="46"/>
    </row>
    <row r="112" spans="27:44">
      <c r="AA112" t="s">
        <v>1086</v>
      </c>
      <c r="AB112" s="46">
        <f>+DropINTable!AB159</f>
        <v>0</v>
      </c>
      <c r="AC112" s="46">
        <f>+DropINTable!AC159</f>
        <v>605.57432911990361</v>
      </c>
      <c r="AD112" s="46">
        <f>+DropINTable!AD159</f>
        <v>620.30777695598181</v>
      </c>
      <c r="AE112" s="46">
        <f>+DropINTable!AE159</f>
        <v>645.16336729079217</v>
      </c>
      <c r="AF112" s="46">
        <f>+DropINTable!AF159</f>
        <v>685.85220627655087</v>
      </c>
      <c r="AG112" s="46">
        <f>+DropINTable!AG159</f>
        <v>748.79573182541924</v>
      </c>
      <c r="AH112" s="46">
        <f>+DropINTable!AH159</f>
        <v>836.06850023856782</v>
      </c>
      <c r="AI112" s="46">
        <f>+DropINTable!AI159</f>
        <v>910.05198557296137</v>
      </c>
      <c r="AJ112" s="46">
        <f>+DropINTable!AJ159</f>
        <v>992.37822100643359</v>
      </c>
      <c r="AK112" s="46">
        <f>+DropINTable!AK159</f>
        <v>1040.7632628274282</v>
      </c>
      <c r="AL112" s="46">
        <f>+DropINTable!AL159</f>
        <v>1106.7844900851976</v>
      </c>
      <c r="AM112" s="46">
        <f>+DropINTable!AM159</f>
        <v>1223.3048697765905</v>
      </c>
      <c r="AN112" s="46">
        <f>+DropINTable!AN159</f>
        <v>1395.6190966146428</v>
      </c>
      <c r="AO112" s="46">
        <f>+DropINTable!AO159</f>
        <v>1410.4469142652651</v>
      </c>
      <c r="AP112" s="46"/>
      <c r="AQ112" s="46"/>
      <c r="AR112" s="46"/>
    </row>
    <row r="113" spans="27:44">
      <c r="AA113" t="s">
        <v>1186</v>
      </c>
      <c r="AB113" s="46">
        <f>IF(DropINTable!AB160-DropINTable!AB159&lt;0,0,+DropINTable!AB160-DropINTable!AB159)</f>
        <v>0</v>
      </c>
      <c r="AC113" s="46">
        <f>IF(DropINTable!AC160-DropINTable!AC159&lt;0,0,+DropINTable!AC160-DropINTable!AC159)</f>
        <v>0</v>
      </c>
      <c r="AD113" s="46">
        <f>IF(DropINTable!AD160-DropINTable!AD159&lt;0,0,+DropINTable!AD160-DropINTable!AD159)</f>
        <v>89.480250388995387</v>
      </c>
      <c r="AE113" s="46">
        <f>IF(DropINTable!AE160-DropINTable!AE159&lt;0,0,+DropINTable!AE160-DropINTable!AE159)</f>
        <v>89.586480819099506</v>
      </c>
      <c r="AF113" s="46">
        <f>IF(DropINTable!AF160-DropINTable!AF159&lt;0,0,+DropINTable!AF160-DropINTable!AF159)</f>
        <v>89.7603790133046</v>
      </c>
      <c r="AG113" s="46">
        <f>IF(DropINTable!AG160-DropINTable!AG159&lt;0,0,+DropINTable!AG160-DropINTable!AG159)</f>
        <v>90.029393109842431</v>
      </c>
      <c r="AH113" s="46">
        <f>IF(DropINTable!AH160-DropINTable!AH159&lt;0,0,+DropINTable!AH160-DropINTable!AH159)</f>
        <v>90.402388621540126</v>
      </c>
      <c r="AI113" s="46">
        <f>IF(DropINTable!AI160-DropINTable!AI159&lt;0,0,+DropINTable!AI160-DropINTable!AI159)</f>
        <v>90.718587531219441</v>
      </c>
      <c r="AJ113" s="46">
        <f>IF(DropINTable!AJ160-DropINTable!AJ159&lt;0,0,+DropINTable!AJ160-DropINTable!AJ159)</f>
        <v>91.070439527895701</v>
      </c>
      <c r="AK113" s="46">
        <f>IF(DropINTable!AK160-DropINTable!AK159&lt;0,0,+DropINTable!AK160-DropINTable!AK159)</f>
        <v>91.277232909052145</v>
      </c>
      <c r="AL113" s="46">
        <f>IF(DropINTable!AL160-DropINTable!AL159&lt;0,0,+DropINTable!AL160-DropINTable!AL159)</f>
        <v>91.559403399661733</v>
      </c>
      <c r="AM113" s="46">
        <f>IF(DropINTable!AM160-DropINTable!AM159&lt;0,0,+DropINTable!AM160-DropINTable!AM159)</f>
        <v>92.057397691463393</v>
      </c>
      <c r="AN113" s="46">
        <f>IF(DropINTable!AN160-DropINTable!AN159&lt;0,0,+DropINTable!AN160-DropINTable!AN159)</f>
        <v>92.793849256752083</v>
      </c>
      <c r="AO113" s="46">
        <f>IF(DropINTable!AO160-DropINTable!AO159&lt;0,0,+DropINTable!AO160-DropINTable!AO159)</f>
        <v>92.857220835809585</v>
      </c>
      <c r="AP113" s="46"/>
      <c r="AQ113" s="46"/>
      <c r="AR113" s="46"/>
    </row>
    <row r="114" spans="27:44">
      <c r="AB114" s="46"/>
      <c r="AC114" s="46"/>
      <c r="AD114" s="46"/>
      <c r="AE114" s="46"/>
      <c r="AF114" s="46"/>
      <c r="AG114" s="46"/>
      <c r="AH114" s="46"/>
      <c r="AI114" s="46"/>
      <c r="AJ114" s="46"/>
      <c r="AK114" s="46"/>
      <c r="AL114" s="46"/>
      <c r="AM114" s="46"/>
      <c r="AN114" s="46"/>
      <c r="AO114" s="46"/>
      <c r="AP114" s="46"/>
      <c r="AQ114" s="46"/>
      <c r="AR114" s="46"/>
    </row>
    <row r="115" spans="27:44">
      <c r="AA115" t="s">
        <v>1097</v>
      </c>
      <c r="AB115" s="46">
        <f>+DropINTable!AB164</f>
        <v>317.98684558452436</v>
      </c>
      <c r="AC115" s="46">
        <f>+DropINTable!AC164</f>
        <v>333.39052752325279</v>
      </c>
      <c r="AD115" s="46">
        <f>+DropINTable!AD164</f>
        <v>348.14938943660138</v>
      </c>
      <c r="AE115" s="46">
        <f>+DropINTable!AE164</f>
        <v>373.04785410433499</v>
      </c>
      <c r="AF115" s="46">
        <f>+DropINTable!AF164</f>
        <v>413.80687777913425</v>
      </c>
      <c r="AG115" s="46">
        <f>+DropINTable!AG164</f>
        <v>476.85897520674712</v>
      </c>
      <c r="AH115" s="46">
        <f>+DropINTable!AH164</f>
        <v>564.28228248004757</v>
      </c>
      <c r="AI115" s="46">
        <f>+DropINTable!AI164</f>
        <v>638.39338439510789</v>
      </c>
      <c r="AJ115" s="46">
        <f>+DropINTable!AJ164</f>
        <v>720.86162464901258</v>
      </c>
      <c r="AK115" s="46">
        <f>+DropINTable!AK164</f>
        <v>769.33012613355106</v>
      </c>
      <c r="AL115" s="46">
        <f>+DropINTable!AL164</f>
        <v>835.46523602892705</v>
      </c>
      <c r="AM115" s="46">
        <f>+DropINTable!AM164</f>
        <v>952.18660391557205</v>
      </c>
      <c r="AN115" s="46">
        <f>+DropINTable!AN164</f>
        <v>1124.7980577433095</v>
      </c>
      <c r="AO115" s="46">
        <f>+DropINTable!AO164</f>
        <v>1139.6514531866621</v>
      </c>
      <c r="AP115" s="46"/>
      <c r="AQ115" s="46"/>
      <c r="AR115" s="46"/>
    </row>
    <row r="116" spans="27:44">
      <c r="AA116" t="s">
        <v>1186</v>
      </c>
      <c r="AB116" s="46">
        <f>IF(DropINTable!AB165-DropINTable!AB164&lt;0,0,+DropINTable!AB165-DropINTable!AB164)</f>
        <v>0</v>
      </c>
      <c r="AC116" s="46">
        <f>IF(DropINTable!AC165-DropINTable!AC164&lt;0,0,+DropINTable!AC165-DropINTable!AC164)</f>
        <v>97.183187383739096</v>
      </c>
      <c r="AD116" s="46">
        <f>IF(DropINTable!AD165-DropINTable!AD164&lt;0,0,+DropINTable!AD165-DropINTable!AD164)</f>
        <v>97.085175009572595</v>
      </c>
      <c r="AE116" s="46">
        <f>IF(DropINTable!AE165-DropINTable!AE164&lt;0,0,+DropINTable!AE165-DropINTable!AE164)</f>
        <v>96.9198270434498</v>
      </c>
      <c r="AF116" s="46">
        <f>IF(DropINTable!AF165-DropINTable!AF164&lt;0,0,+DropINTable!AF165-DropINTable!AF164)</f>
        <v>96.649147405777171</v>
      </c>
      <c r="AG116" s="46">
        <f>IF(DropINTable!AG165-DropINTable!AG164&lt;0,0,+DropINTable!AG165-DropINTable!AG164)</f>
        <v>96.23042643990334</v>
      </c>
      <c r="AH116" s="46">
        <f>IF(DropINTable!AH165-DropINTable!AH164&lt;0,0,+DropINTable!AH165-DropINTable!AH164)</f>
        <v>95.649855295573275</v>
      </c>
      <c r="AI116" s="46">
        <f>IF(DropINTable!AI165-DropINTable!AI164&lt;0,0,+DropINTable!AI165-DropINTable!AI164)</f>
        <v>95.157690216064339</v>
      </c>
      <c r="AJ116" s="46">
        <f>IF(DropINTable!AJ165-DropINTable!AJ164&lt;0,0,+DropINTable!AJ165-DropINTable!AJ164)</f>
        <v>94.610025424446576</v>
      </c>
      <c r="AK116" s="46">
        <f>IF(DropINTable!AK165-DropINTable!AK164&lt;0,0,+DropINTable!AK165-DropINTable!AK164)</f>
        <v>94.28814907176627</v>
      </c>
      <c r="AL116" s="46">
        <f>IF(DropINTable!AL165-DropINTable!AL164&lt;0,0,+DropINTable!AL165-DropINTable!AL164)</f>
        <v>93.848952694396985</v>
      </c>
      <c r="AM116" s="46">
        <f>IF(DropINTable!AM165-DropINTable!AM164&lt;0,0,+DropINTable!AM165-DropINTable!AM164)</f>
        <v>93.073815772261241</v>
      </c>
      <c r="AN116" s="46">
        <f>IF(DropINTable!AN165-DropINTable!AN164&lt;0,0,+DropINTable!AN165-DropINTable!AN164)</f>
        <v>91.927521445060165</v>
      </c>
      <c r="AO116" s="46">
        <f>IF(DropINTable!AO165-DropINTable!AO164&lt;0,0,+DropINTable!AO165-DropINTable!AO164)</f>
        <v>91.828876646649633</v>
      </c>
      <c r="AP116" s="46"/>
      <c r="AQ116" s="46"/>
      <c r="AR116" s="46"/>
    </row>
    <row r="117" spans="27:44">
      <c r="AB117" s="46"/>
      <c r="AC117" s="46"/>
      <c r="AD117" s="46"/>
      <c r="AE117" s="46"/>
      <c r="AF117" s="46"/>
      <c r="AG117" s="46"/>
      <c r="AH117" s="46"/>
      <c r="AI117" s="46"/>
      <c r="AJ117" s="46"/>
      <c r="AK117" s="46"/>
      <c r="AL117" s="46"/>
      <c r="AM117" s="46"/>
      <c r="AN117" s="46"/>
      <c r="AO117" s="46"/>
      <c r="AP117" s="46"/>
      <c r="AQ117" s="46"/>
      <c r="AR117" s="46"/>
    </row>
    <row r="118" spans="27:44">
      <c r="AB118" s="46"/>
      <c r="AC118" s="46"/>
      <c r="AD118" s="46"/>
      <c r="AE118" s="46"/>
      <c r="AF118" s="46"/>
      <c r="AG118" s="46"/>
      <c r="AH118" s="46"/>
      <c r="AI118" s="46"/>
      <c r="AJ118" s="46"/>
      <c r="AK118" s="46"/>
      <c r="AL118" s="46"/>
      <c r="AM118" s="46"/>
      <c r="AN118" s="46"/>
      <c r="AO118" s="46"/>
      <c r="AP118" s="46"/>
      <c r="AQ118" s="46"/>
      <c r="AR118" s="46"/>
    </row>
    <row r="119" spans="27:44" ht="28.5">
      <c r="AA119" s="369" t="s">
        <v>236</v>
      </c>
      <c r="AB119" s="46"/>
      <c r="AC119" s="46"/>
      <c r="AD119" s="46"/>
      <c r="AE119" s="46"/>
      <c r="AF119" s="46"/>
      <c r="AG119" s="46"/>
      <c r="AH119" s="46"/>
      <c r="AI119" s="46"/>
      <c r="AJ119" s="46"/>
      <c r="AK119" s="46"/>
      <c r="AL119" s="46"/>
      <c r="AM119" s="46"/>
      <c r="AN119" s="46"/>
      <c r="AO119" s="46"/>
      <c r="AP119" s="46"/>
      <c r="AQ119" s="46"/>
      <c r="AR119" s="46"/>
    </row>
    <row r="120" spans="27:44">
      <c r="AA120" t="s">
        <v>1086</v>
      </c>
      <c r="AB120" s="46">
        <f>+DropINTable!AB171</f>
        <v>0</v>
      </c>
      <c r="AC120" s="46">
        <f>+DropINTable!AC171</f>
        <v>624.09795981459342</v>
      </c>
      <c r="AD120" s="46">
        <f>+DropINTable!AD171</f>
        <v>638.83140775137781</v>
      </c>
      <c r="AE120" s="46">
        <f>+DropINTable!AE171</f>
        <v>663.6869982411207</v>
      </c>
      <c r="AF120" s="46">
        <f>+DropINTable!AF171</f>
        <v>704.37583677757493</v>
      </c>
      <c r="AG120" s="46">
        <f>+DropINTable!AG171</f>
        <v>767.31936229235794</v>
      </c>
      <c r="AH120" s="46">
        <f>+DropINTable!AH171</f>
        <v>854.59213110833139</v>
      </c>
      <c r="AI120" s="46">
        <f>+DropINTable!AI171</f>
        <v>928.57561771627127</v>
      </c>
      <c r="AJ120" s="46">
        <f>+DropINTable!AJ171</f>
        <v>1010.9018520156366</v>
      </c>
      <c r="AK120" s="46">
        <f>+DropINTable!AK171</f>
        <v>1059.2868935205688</v>
      </c>
      <c r="AL120" s="46">
        <f>+DropINTable!AL171</f>
        <v>1125.308121590185</v>
      </c>
      <c r="AM120" s="46">
        <f>+DropINTable!AM171</f>
        <v>1241.8285007795962</v>
      </c>
      <c r="AN120" s="46">
        <f>+DropINTable!AN171</f>
        <v>1414.142726613685</v>
      </c>
      <c r="AO120" s="46">
        <f>+DropINTable!AO171</f>
        <v>1428.9705451691138</v>
      </c>
      <c r="AP120" s="46"/>
      <c r="AQ120" s="46"/>
    </row>
    <row r="121" spans="27:44">
      <c r="AA121" t="s">
        <v>1186</v>
      </c>
      <c r="AB121" s="46">
        <f>IF(DropINTable!AB172-DropINTable!AB171&lt;0,0,+DropINTable!AB172-DropINTable!AB171)</f>
        <v>0</v>
      </c>
      <c r="AC121" s="46">
        <f>IF(DropINTable!AC172-DropINTable!AC171&lt;0,0,+DropINTable!AC172-DropINTable!AC171)</f>
        <v>0</v>
      </c>
      <c r="AD121" s="46">
        <f>IF(DropINTable!AD172-DropINTable!AD171&lt;0,0,+DropINTable!AD172-DropINTable!AD171)</f>
        <v>89.559419790670063</v>
      </c>
      <c r="AE121" s="46">
        <f>IF(DropINTable!AE172-DropINTable!AE171&lt;0,0,+DropINTable!AE172-DropINTable!AE171)</f>
        <v>89.665649259130078</v>
      </c>
      <c r="AF121" s="46">
        <f>IF(DropINTable!AF172-DropINTable!AF171&lt;0,0,+DropINTable!AF172-DropINTable!AF171)</f>
        <v>89.839547424588659</v>
      </c>
      <c r="AG121" s="46">
        <f>IF(DropINTable!AG172-DropINTable!AG171&lt;0,0,+DropINTable!AG172-DropINTable!AG171)</f>
        <v>90.108562242410244</v>
      </c>
      <c r="AH121" s="46">
        <f>IF(DropINTable!AH172-DropINTable!AH171&lt;0,0,+DropINTable!AH172-DropINTable!AH171)</f>
        <v>90.481557381161224</v>
      </c>
      <c r="AI121" s="46">
        <f>IF(DropINTable!AI172-DropINTable!AI171&lt;0,0,+DropINTable!AI172-DropINTable!AI171)</f>
        <v>90.797754957537904</v>
      </c>
      <c r="AJ121" s="46">
        <f>IF(DropINTable!AJ172-DropINTable!AJ171&lt;0,0,+DropINTable!AJ172-DropINTable!AJ171)</f>
        <v>91.149608626128952</v>
      </c>
      <c r="AK121" s="46">
        <f>IF(DropINTable!AK172-DropINTable!AK171&lt;0,0,+DropINTable!AK172-DropINTable!AK171)</f>
        <v>91.356400291629598</v>
      </c>
      <c r="AL121" s="46">
        <f>IF(DropINTable!AL172-DropINTable!AL171&lt;0,0,+DropINTable!AL172-DropINTable!AL171)</f>
        <v>91.638569492341276</v>
      </c>
      <c r="AM121" s="46">
        <f>IF(DropINTable!AM172-DropINTable!AM171&lt;0,0,+DropINTable!AM172-DropINTable!AM171)</f>
        <v>92.136565421496471</v>
      </c>
      <c r="AN121" s="46">
        <f>IF(DropINTable!AN172-DropINTable!AN171&lt;0,0,+DropINTable!AN172-DropINTable!AN171)</f>
        <v>92.873018707825395</v>
      </c>
      <c r="AO121" s="46">
        <f>IF(DropINTable!AO172-DropINTable!AO171&lt;0,0,+DropINTable!AO172-DropINTable!AO171)</f>
        <v>92.936389621101853</v>
      </c>
      <c r="AP121" s="46"/>
      <c r="AQ121" s="46"/>
    </row>
    <row r="122" spans="27:44">
      <c r="AB122" s="46"/>
      <c r="AC122" s="46"/>
      <c r="AD122" s="46"/>
      <c r="AE122" s="46"/>
      <c r="AF122" s="46"/>
      <c r="AG122" s="46"/>
      <c r="AH122" s="46"/>
      <c r="AI122" s="46"/>
      <c r="AJ122" s="46"/>
      <c r="AK122" s="46"/>
      <c r="AL122" s="46"/>
      <c r="AM122" s="46"/>
      <c r="AN122" s="46"/>
      <c r="AO122" s="46"/>
      <c r="AP122" s="46"/>
      <c r="AQ122" s="46"/>
    </row>
    <row r="123" spans="27:44">
      <c r="AA123" t="s">
        <v>1097</v>
      </c>
      <c r="AB123" s="46">
        <f>+DropINTable!AB176</f>
        <v>336.54242848908052</v>
      </c>
      <c r="AC123" s="46">
        <f>+DropINTable!AC176</f>
        <v>351.94611026242944</v>
      </c>
      <c r="AD123" s="46">
        <f>+DropINTable!AD176</f>
        <v>366.7049721993348</v>
      </c>
      <c r="AE123" s="46">
        <f>+DropINTable!AE176</f>
        <v>391.60343635909783</v>
      </c>
      <c r="AF123" s="46">
        <f>+DropINTable!AF176</f>
        <v>432.36246082540617</v>
      </c>
      <c r="AG123" s="46">
        <f>+DropINTable!AG176</f>
        <v>495.41455826329832</v>
      </c>
      <c r="AH123" s="46">
        <f>+DropINTable!AH176</f>
        <v>582.83786554687822</v>
      </c>
      <c r="AI123" s="46">
        <f>+DropINTable!AI176</f>
        <v>656.94896752018803</v>
      </c>
      <c r="AJ123" s="46">
        <f>+DropINTable!AJ176</f>
        <v>739.41720771926964</v>
      </c>
      <c r="AK123" s="46">
        <f>+DropINTable!AK176</f>
        <v>787.88570882004615</v>
      </c>
      <c r="AL123" s="46">
        <f>+DropINTable!AL176</f>
        <v>854.02081833166028</v>
      </c>
      <c r="AM123" s="46">
        <f>+DropINTable!AM176</f>
        <v>970.7421865335383</v>
      </c>
      <c r="AN123" s="46">
        <f>+DropINTable!AN176</f>
        <v>1143.3536405463037</v>
      </c>
      <c r="AO123" s="46">
        <f>+DropINTable!AO176</f>
        <v>1158.2070358937158</v>
      </c>
      <c r="AP123" s="46"/>
      <c r="AQ123" s="46"/>
    </row>
    <row r="124" spans="27:44">
      <c r="AA124" t="s">
        <v>1186</v>
      </c>
      <c r="AB124" s="46">
        <f>IF(DropINTable!AB177-DropINTable!AB176&lt;0,0,+DropINTable!AB177-DropINTable!AB176)</f>
        <v>0</v>
      </c>
      <c r="AC124" s="46">
        <f>IF(DropINTable!AC177-DropINTable!AC176&lt;0,0,+DropINTable!AC177-DropINTable!AC176)</f>
        <v>97.059962414415622</v>
      </c>
      <c r="AD124" s="46">
        <f>IF(DropINTable!AD177-DropINTable!AD176&lt;0,0,+DropINTable!AD177-DropINTable!AD176)</f>
        <v>96.961950531556624</v>
      </c>
      <c r="AE124" s="46">
        <f>IF(DropINTable!AE177-DropINTable!AE176&lt;0,0,+DropINTable!AE177-DropINTable!AE176)</f>
        <v>96.796601781195932</v>
      </c>
      <c r="AF124" s="46">
        <f>IF(DropINTable!AF177-DropINTable!AF176&lt;0,0,+DropINTable!AF177-DropINTable!AF176)</f>
        <v>96.525922058690753</v>
      </c>
      <c r="AG124" s="46">
        <f>IF(DropINTable!AG177-DropINTable!AG176&lt;0,0,+DropINTable!AG177-DropINTable!AG176)</f>
        <v>96.107199144224865</v>
      </c>
      <c r="AH124" s="46">
        <f>IF(DropINTable!AH177-DropINTable!AH176&lt;0,0,+DropINTable!AH177-DropINTable!AH176)</f>
        <v>95.526628635719703</v>
      </c>
      <c r="AI124" s="46">
        <f>IF(DropINTable!AI177-DropINTable!AI176&lt;0,0,+DropINTable!AI177-DropINTable!AI176)</f>
        <v>95.034462084608208</v>
      </c>
      <c r="AJ124" s="46">
        <f>IF(DropINTable!AJ177-DropINTable!AJ176&lt;0,0,+DropINTable!AJ177-DropINTable!AJ176)</f>
        <v>94.486799447652402</v>
      </c>
      <c r="AK124" s="46">
        <f>IF(DropINTable!AK177-DropINTable!AK176&lt;0,0,+DropINTable!AK177-DropINTable!AK176)</f>
        <v>94.164925093994725</v>
      </c>
      <c r="AL124" s="46">
        <f>IF(DropINTable!AL177-DropINTable!AL176&lt;0,0,+DropINTable!AL177-DropINTable!AL176)</f>
        <v>93.725727727415801</v>
      </c>
      <c r="AM124" s="46">
        <f>IF(DropINTable!AM177-DropINTable!AM176&lt;0,0,+DropINTable!AM177-DropINTable!AM176)</f>
        <v>92.95058911707531</v>
      </c>
      <c r="AN124" s="46">
        <f>IF(DropINTable!AN177-DropINTable!AN176&lt;0,0,+DropINTable!AN177-DropINTable!AN176)</f>
        <v>91.804292828059715</v>
      </c>
      <c r="AO124" s="46">
        <f>IF(DropINTable!AO177-DropINTable!AO176&lt;0,0,+DropINTable!AO177-DropINTable!AO176)</f>
        <v>91.705650063902567</v>
      </c>
      <c r="AP124" s="46"/>
      <c r="AQ124" s="46"/>
    </row>
    <row r="125" spans="27:44">
      <c r="AP125" s="46"/>
      <c r="AQ125" s="46"/>
    </row>
    <row r="126" spans="27:44">
      <c r="AP126" s="46"/>
      <c r="AQ126" s="46"/>
    </row>
    <row r="127" spans="27:44">
      <c r="AP127" s="46"/>
      <c r="AQ127" s="46"/>
    </row>
    <row r="128" spans="27:44">
      <c r="AP128" s="46"/>
      <c r="AQ128" s="46"/>
    </row>
    <row r="129" spans="28:43">
      <c r="AB129" s="46"/>
      <c r="AC129" s="46"/>
      <c r="AD129" s="46"/>
      <c r="AE129" s="46"/>
      <c r="AF129" s="46"/>
      <c r="AG129" s="46"/>
      <c r="AH129" s="46"/>
      <c r="AI129" s="46"/>
      <c r="AJ129" s="46"/>
      <c r="AK129" s="46"/>
      <c r="AL129" s="46"/>
      <c r="AM129" s="46"/>
      <c r="AN129" s="46"/>
      <c r="AO129" s="46"/>
      <c r="AP129" s="46"/>
      <c r="AQ129" s="46"/>
    </row>
    <row r="130" spans="28:43">
      <c r="AB130" s="46"/>
      <c r="AC130" s="46"/>
      <c r="AD130" s="46"/>
      <c r="AE130" s="46"/>
      <c r="AF130" s="46"/>
      <c r="AG130" s="46"/>
      <c r="AH130" s="46"/>
      <c r="AI130" s="46"/>
      <c r="AJ130" s="46"/>
      <c r="AK130" s="46"/>
      <c r="AL130" s="46"/>
      <c r="AM130" s="46"/>
      <c r="AN130" s="46"/>
      <c r="AO130" s="46"/>
      <c r="AP130" s="46"/>
      <c r="AQ130" s="46"/>
    </row>
    <row r="131" spans="28:43">
      <c r="AP131" s="46"/>
      <c r="AQ131" s="46"/>
    </row>
    <row r="132" spans="28:43">
      <c r="AP132" s="46"/>
      <c r="AQ132" s="46"/>
    </row>
    <row r="133" spans="28:43">
      <c r="AP133" s="46"/>
      <c r="AQ133" s="46"/>
    </row>
    <row r="134" spans="28:43">
      <c r="AP134" s="46"/>
      <c r="AQ134" s="46"/>
    </row>
    <row r="135" spans="28:43">
      <c r="AP135" s="46"/>
      <c r="AQ135" s="46"/>
    </row>
    <row r="136" spans="28:43">
      <c r="AP136" s="46"/>
      <c r="AQ136" s="46"/>
    </row>
    <row r="137" spans="28:43">
      <c r="AP137" s="46"/>
      <c r="AQ137" s="46"/>
    </row>
    <row r="138" spans="28:43">
      <c r="AP138" s="46"/>
      <c r="AQ138" s="46"/>
    </row>
    <row r="139" spans="28:43">
      <c r="AP139" s="46"/>
      <c r="AQ139" s="46"/>
    </row>
    <row r="140" spans="28:43">
      <c r="AP140" s="46"/>
      <c r="AQ140" s="46"/>
    </row>
    <row r="141" spans="28:43">
      <c r="AP141" s="46"/>
      <c r="AQ141" s="46"/>
    </row>
    <row r="142" spans="28:43">
      <c r="AP142" s="46"/>
      <c r="AQ142" s="46"/>
    </row>
    <row r="143" spans="28:43">
      <c r="AP143" s="46"/>
      <c r="AQ143" s="46"/>
    </row>
    <row r="144" spans="28:43">
      <c r="AP144" s="46"/>
      <c r="AQ144" s="46"/>
    </row>
    <row r="145" spans="42:44">
      <c r="AP145" s="46"/>
      <c r="AQ145" s="46"/>
    </row>
    <row r="146" spans="42:44">
      <c r="AP146" s="46"/>
      <c r="AQ146" s="46"/>
    </row>
    <row r="147" spans="42:44">
      <c r="AP147" s="46"/>
      <c r="AQ147" s="46"/>
    </row>
    <row r="148" spans="42:44">
      <c r="AP148" s="46"/>
      <c r="AQ148" s="46"/>
      <c r="AR148" s="46"/>
    </row>
    <row r="149" spans="42:44">
      <c r="AP149" s="46"/>
      <c r="AQ149" s="46"/>
      <c r="AR149" s="46"/>
    </row>
    <row r="150" spans="42:44">
      <c r="AP150" s="46"/>
      <c r="AQ150" s="46"/>
      <c r="AR150" s="46"/>
    </row>
    <row r="151" spans="42:44">
      <c r="AP151" s="46"/>
      <c r="AQ151" s="46"/>
      <c r="AR151" s="46"/>
    </row>
    <row r="152" spans="42:44">
      <c r="AP152" s="46"/>
      <c r="AQ152" s="46"/>
      <c r="AR152" s="46"/>
    </row>
    <row r="153" spans="42:44">
      <c r="AP153" s="46"/>
      <c r="AQ153" s="46"/>
      <c r="AR153" s="46"/>
    </row>
    <row r="154" spans="42:44">
      <c r="AP154" s="46"/>
      <c r="AQ154" s="46"/>
      <c r="AR154" s="46"/>
    </row>
    <row r="155" spans="42:44">
      <c r="AP155" s="46"/>
      <c r="AQ155" s="46"/>
      <c r="AR155" s="46"/>
    </row>
    <row r="156" spans="42:44">
      <c r="AP156" s="46"/>
      <c r="AQ156" s="46"/>
      <c r="AR156" s="46"/>
    </row>
    <row r="157" spans="42:44">
      <c r="AP157" s="46"/>
      <c r="AQ157" s="46"/>
      <c r="AR157" s="46"/>
    </row>
    <row r="158" spans="42:44">
      <c r="AP158" s="46"/>
      <c r="AQ158" s="46"/>
      <c r="AR158" s="46"/>
    </row>
    <row r="159" spans="42:44">
      <c r="AP159" s="46"/>
      <c r="AQ159" s="46"/>
      <c r="AR159" s="46"/>
    </row>
    <row r="160" spans="42:44">
      <c r="AP160" s="46"/>
      <c r="AQ160" s="46"/>
      <c r="AR160" s="46"/>
    </row>
    <row r="161" spans="42:47">
      <c r="AP161" s="46"/>
      <c r="AQ161" s="46"/>
      <c r="AR161" s="46"/>
    </row>
    <row r="162" spans="42:47">
      <c r="AP162" s="46"/>
      <c r="AQ162" s="46"/>
      <c r="AR162" s="46"/>
    </row>
    <row r="163" spans="42:47">
      <c r="AP163" s="46"/>
      <c r="AQ163" s="46"/>
      <c r="AR163" s="46"/>
      <c r="AS163" s="46"/>
      <c r="AT163" s="46"/>
      <c r="AU163" s="46"/>
    </row>
    <row r="164" spans="42:47">
      <c r="AP164" s="46"/>
      <c r="AQ164" s="46"/>
      <c r="AR164" s="46"/>
      <c r="AS164" s="46"/>
      <c r="AT164" s="46"/>
      <c r="AU164" s="46"/>
    </row>
    <row r="165" spans="42:47">
      <c r="AP165" s="46"/>
      <c r="AQ165" s="46"/>
      <c r="AR165" s="46"/>
      <c r="AS165" s="46"/>
      <c r="AT165" s="46"/>
      <c r="AU165" s="46"/>
    </row>
    <row r="166" spans="42:47">
      <c r="AP166" s="46"/>
      <c r="AQ166" s="46"/>
      <c r="AR166" s="46"/>
      <c r="AS166" s="46"/>
      <c r="AT166" s="46"/>
      <c r="AU166" s="46"/>
    </row>
    <row r="167" spans="42:47">
      <c r="AP167" s="46"/>
      <c r="AQ167" s="46"/>
      <c r="AR167" s="46"/>
      <c r="AS167" s="46"/>
      <c r="AT167" s="46"/>
      <c r="AU167" s="46"/>
    </row>
    <row r="168" spans="42:47">
      <c r="AP168" s="46"/>
      <c r="AQ168" s="46"/>
      <c r="AR168" s="46"/>
      <c r="AS168" s="46"/>
      <c r="AT168" s="46"/>
      <c r="AU168" s="46"/>
    </row>
    <row r="169" spans="42:47">
      <c r="AP169" s="46"/>
      <c r="AQ169" s="46"/>
      <c r="AR169" s="46"/>
      <c r="AS169" s="46"/>
      <c r="AT169" s="46"/>
      <c r="AU169" s="46"/>
    </row>
    <row r="170" spans="42:47">
      <c r="AP170" s="46"/>
      <c r="AQ170" s="46"/>
      <c r="AR170" s="46"/>
      <c r="AS170" s="46"/>
      <c r="AT170" s="46"/>
      <c r="AU170" s="46"/>
    </row>
    <row r="171" spans="42:47">
      <c r="AP171" s="46"/>
      <c r="AQ171" s="46"/>
      <c r="AR171" s="46"/>
      <c r="AS171" s="46"/>
      <c r="AT171" s="46"/>
      <c r="AU171" s="46"/>
    </row>
    <row r="172" spans="42:47">
      <c r="AP172" s="46"/>
      <c r="AQ172" s="46"/>
      <c r="AR172" s="46"/>
    </row>
    <row r="173" spans="42:47">
      <c r="AP173" s="46"/>
      <c r="AQ173" s="46"/>
    </row>
    <row r="174" spans="42:47">
      <c r="AP174" s="46"/>
      <c r="AQ174" s="46"/>
    </row>
    <row r="175" spans="42:47">
      <c r="AP175" s="46"/>
      <c r="AQ175" s="46"/>
    </row>
    <row r="176" spans="42:47">
      <c r="AP176" s="46"/>
      <c r="AQ176" s="46"/>
    </row>
    <row r="177" spans="42:43">
      <c r="AP177" s="46"/>
      <c r="AQ177" s="46"/>
    </row>
    <row r="178" spans="42:43">
      <c r="AP178" s="46"/>
      <c r="AQ178" s="46"/>
    </row>
    <row r="179" spans="42:43">
      <c r="AP179" s="46"/>
      <c r="AQ179" s="46"/>
    </row>
    <row r="180" spans="42:43">
      <c r="AP180" s="46"/>
      <c r="AQ180" s="46"/>
    </row>
    <row r="181" spans="42:43">
      <c r="AP181" s="46"/>
      <c r="AQ181" s="46"/>
    </row>
    <row r="182" spans="42:43">
      <c r="AP182" s="46"/>
      <c r="AQ182" s="46"/>
    </row>
    <row r="183" spans="42:43">
      <c r="AP183" s="46"/>
      <c r="AQ183" s="46"/>
    </row>
    <row r="184" spans="42:43">
      <c r="AP184" s="46"/>
      <c r="AQ184" s="46"/>
    </row>
  </sheetData>
  <sheetProtection algorithmName="SHA-512" hashValue="dGlZ5Kn8TsgG98JscXesReix+41C+uAp+6iZMxa5ABt2VeQ2QolPi7BAtFw1bZa6OUZzW9R/zbW3rnPLJSTIjg==" saltValue="LD+s9t6q0c6TIgRj9CtNlw==" spinCount="100000" sheet="1" objects="1" scenarios="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N130"/>
  <sheetViews>
    <sheetView workbookViewId="0">
      <selection sqref="A1:XFD1048576"/>
    </sheetView>
  </sheetViews>
  <sheetFormatPr defaultColWidth="9.140625" defaultRowHeight="12.75"/>
  <cols>
    <col min="1" max="1" width="43" style="46" bestFit="1" customWidth="1"/>
    <col min="2" max="2" width="13" customWidth="1"/>
    <col min="3" max="3" width="13" style="46" customWidth="1"/>
    <col min="4" max="6" width="13" customWidth="1"/>
    <col min="9" max="9" width="43" bestFit="1" customWidth="1"/>
    <col min="10" max="14" width="13" customWidth="1"/>
  </cols>
  <sheetData>
    <row r="1" spans="1:14" ht="17.25" thickBot="1">
      <c r="A1" s="939" t="s">
        <v>1187</v>
      </c>
      <c r="B1" s="939"/>
      <c r="C1" s="939"/>
      <c r="D1" s="939"/>
      <c r="E1" s="939"/>
      <c r="F1" s="939"/>
      <c r="I1" s="939" t="s">
        <v>1188</v>
      </c>
      <c r="J1" s="939"/>
      <c r="K1" s="939"/>
      <c r="L1" s="939"/>
      <c r="M1" s="939"/>
      <c r="N1" s="939"/>
    </row>
    <row r="2" spans="1:14" ht="18.75" thickBot="1">
      <c r="A2" s="936" t="s">
        <v>1189</v>
      </c>
      <c r="B2" s="936"/>
      <c r="C2" s="936"/>
      <c r="D2" s="936"/>
      <c r="E2" s="488"/>
      <c r="F2" s="56"/>
      <c r="I2" s="936" t="s">
        <v>1190</v>
      </c>
      <c r="J2" s="936"/>
      <c r="K2" s="936"/>
      <c r="L2" s="936"/>
      <c r="M2" s="488"/>
      <c r="N2" s="56"/>
    </row>
    <row r="3" spans="1:14" ht="15">
      <c r="A3" s="487" t="s">
        <v>1191</v>
      </c>
      <c r="B3" s="940" t="s">
        <v>1192</v>
      </c>
      <c r="C3" s="940"/>
      <c r="D3" s="940"/>
      <c r="E3" s="940"/>
      <c r="F3" s="57"/>
      <c r="I3" s="487" t="s">
        <v>1191</v>
      </c>
      <c r="J3" s="940" t="s">
        <v>1192</v>
      </c>
      <c r="K3" s="940"/>
      <c r="L3" s="940"/>
      <c r="M3" s="940"/>
      <c r="N3" s="57"/>
    </row>
    <row r="4" spans="1:14" ht="15">
      <c r="A4" s="487"/>
      <c r="B4" s="938" t="s">
        <v>1193</v>
      </c>
      <c r="C4" s="938"/>
      <c r="D4" s="938"/>
      <c r="E4" s="487"/>
      <c r="F4" s="57"/>
      <c r="I4" s="487"/>
      <c r="J4" s="938" t="s">
        <v>1193</v>
      </c>
      <c r="K4" s="938"/>
      <c r="L4" s="938"/>
      <c r="M4" s="487"/>
      <c r="N4" s="57"/>
    </row>
    <row r="5" spans="1:14" ht="15">
      <c r="A5" s="487"/>
      <c r="B5" s="938" t="s">
        <v>1194</v>
      </c>
      <c r="C5" s="938"/>
      <c r="D5" s="938"/>
      <c r="E5" s="487"/>
      <c r="F5" s="57"/>
      <c r="I5" s="487"/>
      <c r="J5" s="938" t="s">
        <v>1194</v>
      </c>
      <c r="K5" s="938"/>
      <c r="L5" s="938"/>
      <c r="M5" s="487"/>
      <c r="N5" s="57"/>
    </row>
    <row r="6" spans="1:14" ht="15">
      <c r="A6" s="487"/>
      <c r="B6" s="938" t="s">
        <v>1195</v>
      </c>
      <c r="C6" s="938"/>
      <c r="D6" s="938"/>
      <c r="E6" s="487"/>
      <c r="F6" s="57"/>
      <c r="I6" s="487"/>
      <c r="J6" s="938" t="s">
        <v>1195</v>
      </c>
      <c r="K6" s="938"/>
      <c r="L6" s="938"/>
      <c r="M6" s="487"/>
      <c r="N6" s="57"/>
    </row>
    <row r="7" spans="1:14" ht="15">
      <c r="A7" s="487"/>
      <c r="B7" s="938" t="s">
        <v>1196</v>
      </c>
      <c r="C7" s="938"/>
      <c r="D7" s="938"/>
      <c r="E7" s="938"/>
      <c r="F7" s="938"/>
      <c r="I7" s="487"/>
      <c r="J7" s="938" t="s">
        <v>1196</v>
      </c>
      <c r="K7" s="938"/>
      <c r="L7" s="938"/>
      <c r="M7" s="938"/>
      <c r="N7" s="938"/>
    </row>
    <row r="8" spans="1:14" ht="15">
      <c r="A8" s="487"/>
      <c r="B8" s="938" t="s">
        <v>1197</v>
      </c>
      <c r="C8" s="938"/>
      <c r="D8" s="938"/>
      <c r="E8" s="938"/>
      <c r="F8" s="938"/>
      <c r="I8" s="487"/>
      <c r="J8" s="938" t="s">
        <v>1197</v>
      </c>
      <c r="K8" s="938"/>
      <c r="L8" s="938"/>
      <c r="M8" s="938"/>
      <c r="N8" s="938"/>
    </row>
    <row r="9" spans="1:14" ht="15">
      <c r="A9" s="487"/>
      <c r="B9" s="938" t="s">
        <v>1198</v>
      </c>
      <c r="C9" s="938"/>
      <c r="D9" s="938"/>
      <c r="E9" s="938"/>
      <c r="F9" s="938"/>
      <c r="I9" s="487"/>
      <c r="J9" s="938" t="s">
        <v>1198</v>
      </c>
      <c r="K9" s="938"/>
      <c r="L9" s="938"/>
      <c r="M9" s="938"/>
      <c r="N9" s="938"/>
    </row>
    <row r="10" spans="1:14" ht="15">
      <c r="A10" s="487"/>
      <c r="B10" s="938" t="s">
        <v>1199</v>
      </c>
      <c r="C10" s="938"/>
      <c r="D10" s="938"/>
      <c r="E10" s="938"/>
      <c r="F10" s="938"/>
      <c r="I10" s="487"/>
      <c r="J10" s="938" t="s">
        <v>1199</v>
      </c>
      <c r="K10" s="938"/>
      <c r="L10" s="938"/>
      <c r="M10" s="938"/>
      <c r="N10" s="938"/>
    </row>
    <row r="11" spans="1:14" ht="15">
      <c r="A11" s="487"/>
      <c r="B11" s="938" t="s">
        <v>1200</v>
      </c>
      <c r="C11" s="938"/>
      <c r="D11" s="938"/>
      <c r="E11" s="938"/>
      <c r="F11" s="938"/>
      <c r="I11" s="487"/>
      <c r="J11" s="938" t="s">
        <v>1200</v>
      </c>
      <c r="K11" s="938"/>
      <c r="L11" s="938"/>
      <c r="M11" s="938"/>
      <c r="N11" s="938"/>
    </row>
    <row r="12" spans="1:14" ht="15">
      <c r="A12" s="487"/>
      <c r="B12" s="938" t="s">
        <v>1201</v>
      </c>
      <c r="C12" s="938"/>
      <c r="D12" s="938"/>
      <c r="E12" s="938"/>
      <c r="F12" s="938"/>
      <c r="I12" s="487"/>
      <c r="J12" s="938" t="s">
        <v>1201</v>
      </c>
      <c r="K12" s="938"/>
      <c r="L12" s="938"/>
      <c r="M12" s="938"/>
      <c r="N12" s="938"/>
    </row>
    <row r="13" spans="1:14" ht="15.75" thickBot="1">
      <c r="A13" s="488"/>
      <c r="B13" s="937" t="s">
        <v>1202</v>
      </c>
      <c r="C13" s="937"/>
      <c r="D13" s="937"/>
      <c r="E13" s="488"/>
      <c r="F13" s="56"/>
      <c r="I13" s="488"/>
      <c r="J13" s="937" t="s">
        <v>1202</v>
      </c>
      <c r="K13" s="937"/>
      <c r="L13" s="937"/>
      <c r="M13" s="488"/>
      <c r="N13" s="56"/>
    </row>
    <row r="14" spans="1:14" ht="15">
      <c r="A14" s="487"/>
      <c r="B14" s="487"/>
      <c r="C14" s="487"/>
      <c r="D14" s="487"/>
      <c r="E14" s="487"/>
      <c r="F14" s="57"/>
      <c r="I14" s="487"/>
      <c r="J14" s="487"/>
      <c r="K14" s="487"/>
      <c r="L14" s="487"/>
      <c r="M14" s="487"/>
      <c r="N14" s="57"/>
    </row>
    <row r="15" spans="1:14" ht="15.75" thickBot="1">
      <c r="A15" s="488"/>
      <c r="B15" s="58" t="s">
        <v>1203</v>
      </c>
      <c r="C15" s="58" t="s">
        <v>1204</v>
      </c>
      <c r="D15" s="58" t="s">
        <v>1205</v>
      </c>
      <c r="E15" s="59" t="s">
        <v>1206</v>
      </c>
      <c r="F15" s="59" t="s">
        <v>1207</v>
      </c>
      <c r="I15" s="488"/>
      <c r="J15" s="58" t="s">
        <v>1203</v>
      </c>
      <c r="K15" s="58" t="s">
        <v>1204</v>
      </c>
      <c r="L15" s="58" t="s">
        <v>1205</v>
      </c>
      <c r="M15" s="59" t="s">
        <v>1206</v>
      </c>
      <c r="N15" s="59" t="s">
        <v>1207</v>
      </c>
    </row>
    <row r="16" spans="1:14" ht="15">
      <c r="A16" s="487"/>
      <c r="B16" s="487"/>
      <c r="C16" s="487"/>
      <c r="D16" s="487"/>
      <c r="E16" s="487"/>
      <c r="F16" s="57"/>
      <c r="G16" s="60"/>
      <c r="H16" s="60"/>
      <c r="I16" s="487"/>
      <c r="J16" s="487"/>
      <c r="K16" s="487"/>
      <c r="L16" s="487"/>
      <c r="M16" s="487"/>
      <c r="N16" s="57"/>
    </row>
    <row r="17" spans="1:14" ht="15">
      <c r="A17" s="61" t="s">
        <v>1208</v>
      </c>
      <c r="B17" s="62">
        <v>22572.2</v>
      </c>
      <c r="C17" s="60" t="s">
        <v>1209</v>
      </c>
      <c r="D17" s="62" t="s">
        <v>1210</v>
      </c>
      <c r="E17" s="63">
        <v>22.8</v>
      </c>
      <c r="F17" s="64">
        <v>0</v>
      </c>
      <c r="G17" s="60"/>
      <c r="H17" s="60"/>
      <c r="I17" s="487" t="str">
        <f>A17</f>
        <v>Constant</v>
      </c>
      <c r="J17" s="62">
        <v>8378</v>
      </c>
      <c r="K17" s="60" t="s">
        <v>1209</v>
      </c>
      <c r="L17" s="62" t="s">
        <v>1211</v>
      </c>
      <c r="M17" s="63">
        <v>11.3</v>
      </c>
      <c r="N17" s="64">
        <v>0</v>
      </c>
    </row>
    <row r="18" spans="1:14" ht="15">
      <c r="A18" s="61"/>
      <c r="B18" s="62"/>
      <c r="C18" s="60"/>
      <c r="D18" s="62"/>
      <c r="E18" s="63"/>
      <c r="F18" s="64"/>
      <c r="G18" s="60"/>
      <c r="H18" s="60"/>
      <c r="I18" s="487"/>
      <c r="J18" s="62"/>
      <c r="K18" s="60"/>
      <c r="L18" s="62"/>
      <c r="M18" s="63"/>
      <c r="N18" s="64"/>
    </row>
    <row r="19" spans="1:14" ht="15">
      <c r="A19" s="61" t="s">
        <v>1212</v>
      </c>
      <c r="B19" s="62"/>
      <c r="C19" s="60"/>
      <c r="D19" s="62"/>
      <c r="E19" s="63"/>
      <c r="F19" s="64"/>
      <c r="G19" s="60"/>
      <c r="H19" s="60"/>
      <c r="I19" s="487" t="str">
        <f>A19</f>
        <v>Family Type</v>
      </c>
      <c r="J19" s="62"/>
      <c r="K19" s="60"/>
      <c r="L19" s="62"/>
      <c r="M19" s="63"/>
      <c r="N19" s="64"/>
    </row>
    <row r="20" spans="1:14" ht="15">
      <c r="A20" s="61" t="s">
        <v>1213</v>
      </c>
      <c r="B20" s="62"/>
      <c r="C20" s="60"/>
      <c r="D20" s="62"/>
      <c r="E20" s="63"/>
      <c r="F20" s="64"/>
      <c r="G20" s="60"/>
      <c r="H20" s="60"/>
      <c r="I20" s="487" t="str">
        <f t="shared" ref="I20:I83" si="0">A20</f>
        <v>[REF: Couple without dependents]</v>
      </c>
      <c r="J20" s="62"/>
      <c r="K20" s="60"/>
      <c r="L20" s="62"/>
      <c r="M20" s="63"/>
      <c r="N20" s="64"/>
    </row>
    <row r="21" spans="1:14" ht="15">
      <c r="A21" s="61" t="s">
        <v>250</v>
      </c>
      <c r="B21" s="62">
        <v>-6182.7</v>
      </c>
      <c r="C21" s="60" t="s">
        <v>1209</v>
      </c>
      <c r="D21" s="62" t="s">
        <v>1214</v>
      </c>
      <c r="E21" s="63">
        <v>-15.4</v>
      </c>
      <c r="F21" s="64">
        <v>0</v>
      </c>
      <c r="G21" s="60"/>
      <c r="H21" s="60"/>
      <c r="I21" s="487" t="str">
        <f t="shared" si="0"/>
        <v>Single</v>
      </c>
      <c r="J21" s="62">
        <v>-1692.1</v>
      </c>
      <c r="K21" s="60" t="s">
        <v>1209</v>
      </c>
      <c r="L21" s="62" t="s">
        <v>1215</v>
      </c>
      <c r="M21" s="63">
        <v>-5.6</v>
      </c>
      <c r="N21" s="64">
        <v>0</v>
      </c>
    </row>
    <row r="22" spans="1:14" ht="15">
      <c r="A22" s="61" t="s">
        <v>1216</v>
      </c>
      <c r="B22" s="62">
        <v>1241.5</v>
      </c>
      <c r="C22" s="60" t="s">
        <v>76</v>
      </c>
      <c r="D22" s="62" t="s">
        <v>1217</v>
      </c>
      <c r="E22" s="63">
        <v>0.6</v>
      </c>
      <c r="F22" s="64">
        <v>0.52</v>
      </c>
      <c r="G22" s="60"/>
      <c r="H22" s="60"/>
      <c r="I22" s="487" t="str">
        <f t="shared" si="0"/>
        <v>Couple with 1 dependent</v>
      </c>
      <c r="J22" s="62">
        <v>1216.8</v>
      </c>
      <c r="K22" s="60" t="s">
        <v>76</v>
      </c>
      <c r="L22" s="62" t="s">
        <v>1218</v>
      </c>
      <c r="M22" s="63">
        <v>0.8</v>
      </c>
      <c r="N22" s="64">
        <v>0.4</v>
      </c>
    </row>
    <row r="23" spans="1:14" ht="15">
      <c r="A23" s="61" t="s">
        <v>1219</v>
      </c>
      <c r="B23" s="62">
        <v>376.3</v>
      </c>
      <c r="C23" s="60" t="s">
        <v>76</v>
      </c>
      <c r="D23" s="62" t="s">
        <v>1220</v>
      </c>
      <c r="E23" s="63">
        <v>0.1</v>
      </c>
      <c r="F23" s="64">
        <v>0.92</v>
      </c>
      <c r="G23" s="60"/>
      <c r="H23" s="60"/>
      <c r="I23" s="487" t="str">
        <f t="shared" si="0"/>
        <v>Couple with 2 dependents</v>
      </c>
      <c r="J23" s="62">
        <v>2893.2</v>
      </c>
      <c r="K23" s="60" t="s">
        <v>76</v>
      </c>
      <c r="L23" s="62" t="s">
        <v>1221</v>
      </c>
      <c r="M23" s="63">
        <v>1</v>
      </c>
      <c r="N23" s="64">
        <v>0.28999999999999998</v>
      </c>
    </row>
    <row r="24" spans="1:14" ht="15">
      <c r="A24" s="61" t="s">
        <v>1222</v>
      </c>
      <c r="B24" s="62">
        <v>80.900000000000006</v>
      </c>
      <c r="C24" s="60" t="s">
        <v>76</v>
      </c>
      <c r="D24" s="62" t="s">
        <v>1223</v>
      </c>
      <c r="E24" s="63">
        <v>0</v>
      </c>
      <c r="F24" s="64">
        <v>0.99</v>
      </c>
      <c r="G24" s="60"/>
      <c r="H24" s="60"/>
      <c r="I24" s="487" t="str">
        <f t="shared" si="0"/>
        <v>Couple with 3 dependents</v>
      </c>
      <c r="J24" s="62">
        <v>5421.7</v>
      </c>
      <c r="K24" s="60" t="s">
        <v>76</v>
      </c>
      <c r="L24" s="62" t="s">
        <v>1224</v>
      </c>
      <c r="M24" s="63">
        <v>1.3</v>
      </c>
      <c r="N24" s="64">
        <v>0.19</v>
      </c>
    </row>
    <row r="25" spans="1:14" ht="15">
      <c r="A25" s="61" t="s">
        <v>1225</v>
      </c>
      <c r="B25" s="62">
        <v>-2106.8000000000002</v>
      </c>
      <c r="C25" s="60" t="s">
        <v>76</v>
      </c>
      <c r="D25" s="62" t="s">
        <v>1226</v>
      </c>
      <c r="E25" s="63">
        <v>-0.3</v>
      </c>
      <c r="F25" s="64">
        <v>0.78</v>
      </c>
      <c r="G25" s="60"/>
      <c r="H25" s="60"/>
      <c r="I25" s="487" t="str">
        <f t="shared" si="0"/>
        <v>Couple with 4 or more dependents</v>
      </c>
      <c r="J25" s="62">
        <v>5649.9</v>
      </c>
      <c r="K25" s="60" t="s">
        <v>76</v>
      </c>
      <c r="L25" s="62" t="s">
        <v>1227</v>
      </c>
      <c r="M25" s="63">
        <v>1</v>
      </c>
      <c r="N25" s="64">
        <v>0.31</v>
      </c>
    </row>
    <row r="26" spans="1:14" ht="15">
      <c r="A26" s="61" t="s">
        <v>1228</v>
      </c>
      <c r="B26" s="62">
        <v>-4998.1000000000004</v>
      </c>
      <c r="C26" s="60" t="s">
        <v>1229</v>
      </c>
      <c r="D26" s="62" t="s">
        <v>1230</v>
      </c>
      <c r="E26" s="63">
        <v>-2.5</v>
      </c>
      <c r="F26" s="64">
        <v>0.01</v>
      </c>
      <c r="G26" s="60"/>
      <c r="H26" s="60"/>
      <c r="I26" s="487" t="str">
        <f t="shared" si="0"/>
        <v>Lone parent with 1 dependent</v>
      </c>
      <c r="J26" s="62">
        <v>227.3</v>
      </c>
      <c r="K26" s="60" t="s">
        <v>76</v>
      </c>
      <c r="L26" s="62" t="s">
        <v>1231</v>
      </c>
      <c r="M26" s="63">
        <v>0.1</v>
      </c>
      <c r="N26" s="64">
        <v>0.88</v>
      </c>
    </row>
    <row r="27" spans="1:14" ht="15">
      <c r="A27" s="61" t="s">
        <v>1232</v>
      </c>
      <c r="B27" s="62">
        <v>-4191.2</v>
      </c>
      <c r="C27" s="60"/>
      <c r="D27" s="62" t="s">
        <v>1233</v>
      </c>
      <c r="E27" s="63">
        <v>-1.1000000000000001</v>
      </c>
      <c r="F27" s="64">
        <v>0.27</v>
      </c>
      <c r="G27" s="60"/>
      <c r="H27" s="60"/>
      <c r="I27" s="487" t="str">
        <f t="shared" si="0"/>
        <v>Lone parent with 2 dependents</v>
      </c>
      <c r="J27" s="62">
        <v>2979.5</v>
      </c>
      <c r="K27" s="60"/>
      <c r="L27" s="62" t="s">
        <v>1234</v>
      </c>
      <c r="M27" s="63">
        <v>1.1000000000000001</v>
      </c>
      <c r="N27" s="64">
        <v>0.28999999999999998</v>
      </c>
    </row>
    <row r="28" spans="1:14" ht="15">
      <c r="A28" s="61" t="s">
        <v>1235</v>
      </c>
      <c r="B28" s="62">
        <v>-7085.4</v>
      </c>
      <c r="C28" s="60"/>
      <c r="D28" s="62" t="s">
        <v>1236</v>
      </c>
      <c r="E28" s="63">
        <v>-1.1000000000000001</v>
      </c>
      <c r="F28" s="64">
        <v>0.26</v>
      </c>
      <c r="G28" s="60"/>
      <c r="H28" s="60"/>
      <c r="I28" s="487" t="str">
        <f t="shared" si="0"/>
        <v>Lone parent with 3 or more dependents</v>
      </c>
      <c r="J28" s="62">
        <v>5183.2</v>
      </c>
      <c r="K28" s="60"/>
      <c r="L28" s="62" t="s">
        <v>1237</v>
      </c>
      <c r="M28" s="63">
        <v>1.1000000000000001</v>
      </c>
      <c r="N28" s="64">
        <v>0.27</v>
      </c>
    </row>
    <row r="29" spans="1:14" ht="15">
      <c r="A29" s="61"/>
      <c r="B29" s="62" t="s">
        <v>76</v>
      </c>
      <c r="C29" s="60" t="s">
        <v>76</v>
      </c>
      <c r="D29" s="62" t="s">
        <v>76</v>
      </c>
      <c r="E29" s="63" t="s">
        <v>76</v>
      </c>
      <c r="F29" s="64" t="s">
        <v>76</v>
      </c>
      <c r="G29" s="60"/>
      <c r="H29" s="60"/>
      <c r="I29" s="487"/>
      <c r="J29" s="62" t="s">
        <v>76</v>
      </c>
      <c r="K29" s="60" t="s">
        <v>76</v>
      </c>
      <c r="L29" s="62" t="s">
        <v>76</v>
      </c>
      <c r="M29" s="63" t="s">
        <v>76</v>
      </c>
      <c r="N29" s="64" t="s">
        <v>76</v>
      </c>
    </row>
    <row r="30" spans="1:14" ht="15">
      <c r="A30" s="61"/>
      <c r="B30" s="62"/>
      <c r="C30" s="60"/>
      <c r="D30" s="62"/>
      <c r="E30" s="63"/>
      <c r="F30" s="64"/>
      <c r="G30" s="60"/>
      <c r="H30" s="60"/>
      <c r="I30" s="487"/>
      <c r="J30" s="62"/>
      <c r="K30" s="60"/>
      <c r="L30" s="62"/>
      <c r="M30" s="63"/>
      <c r="N30" s="64"/>
    </row>
    <row r="31" spans="1:14" ht="15">
      <c r="A31" s="61" t="s">
        <v>1238</v>
      </c>
      <c r="B31" s="62" t="s">
        <v>76</v>
      </c>
      <c r="C31" s="60" t="s">
        <v>76</v>
      </c>
      <c r="D31" s="62" t="s">
        <v>76</v>
      </c>
      <c r="E31" s="63" t="s">
        <v>76</v>
      </c>
      <c r="F31" s="64" t="s">
        <v>76</v>
      </c>
      <c r="G31" s="60"/>
      <c r="H31" s="60"/>
      <c r="I31" s="487" t="str">
        <f t="shared" si="0"/>
        <v>Number of dependent children in household</v>
      </c>
      <c r="J31" s="62" t="s">
        <v>76</v>
      </c>
      <c r="K31" s="60" t="s">
        <v>76</v>
      </c>
      <c r="L31" s="62" t="s">
        <v>76</v>
      </c>
      <c r="M31" s="63" t="s">
        <v>76</v>
      </c>
      <c r="N31" s="64" t="s">
        <v>76</v>
      </c>
    </row>
    <row r="32" spans="1:14" ht="15">
      <c r="A32" s="61" t="s">
        <v>1239</v>
      </c>
      <c r="B32" s="62">
        <v>2395</v>
      </c>
      <c r="C32" s="60" t="s">
        <v>76</v>
      </c>
      <c r="D32" s="62" t="s">
        <v>1240</v>
      </c>
      <c r="E32" s="63">
        <v>1.3</v>
      </c>
      <c r="F32" s="64">
        <v>0.19</v>
      </c>
      <c r="G32" s="60"/>
      <c r="H32" s="60"/>
      <c r="I32" s="487" t="str">
        <f t="shared" si="0"/>
        <v>aged 0 to 14 years</v>
      </c>
      <c r="J32" s="62">
        <v>-1457.2</v>
      </c>
      <c r="K32" s="60" t="s">
        <v>76</v>
      </c>
      <c r="L32" s="62" t="s">
        <v>1241</v>
      </c>
      <c r="M32" s="63">
        <v>-1.1000000000000001</v>
      </c>
      <c r="N32" s="64">
        <v>0.28999999999999998</v>
      </c>
    </row>
    <row r="33" spans="1:14" ht="15">
      <c r="A33" s="61" t="s">
        <v>1242</v>
      </c>
      <c r="B33" s="62">
        <v>5037.2</v>
      </c>
      <c r="C33" s="60" t="s">
        <v>1209</v>
      </c>
      <c r="D33" s="62" t="s">
        <v>1243</v>
      </c>
      <c r="E33" s="63">
        <v>2.7</v>
      </c>
      <c r="F33" s="64">
        <v>0.01</v>
      </c>
      <c r="G33" s="60"/>
      <c r="H33" s="60"/>
      <c r="I33" s="487" t="str">
        <f t="shared" si="0"/>
        <v>aged 15 to 24 years</v>
      </c>
      <c r="J33" s="62">
        <v>-468.3</v>
      </c>
      <c r="K33" s="60" t="s">
        <v>76</v>
      </c>
      <c r="L33" s="62" t="s">
        <v>1244</v>
      </c>
      <c r="M33" s="63">
        <v>-0.3</v>
      </c>
      <c r="N33" s="64">
        <v>0.74</v>
      </c>
    </row>
    <row r="34" spans="1:14" ht="15">
      <c r="A34" s="61"/>
      <c r="B34" s="62"/>
      <c r="C34" s="60"/>
      <c r="D34" s="62"/>
      <c r="E34" s="63"/>
      <c r="F34" s="64"/>
      <c r="G34" s="60"/>
      <c r="H34" s="60"/>
      <c r="I34" s="487"/>
      <c r="J34" s="62"/>
      <c r="K34" s="60"/>
      <c r="L34" s="62"/>
      <c r="M34" s="63"/>
      <c r="N34" s="64"/>
    </row>
    <row r="35" spans="1:14" ht="15">
      <c r="A35" s="61" t="s">
        <v>1245</v>
      </c>
      <c r="B35" s="62" t="s">
        <v>76</v>
      </c>
      <c r="C35" s="60" t="s">
        <v>76</v>
      </c>
      <c r="D35" s="62" t="s">
        <v>76</v>
      </c>
      <c r="E35" s="63" t="s">
        <v>76</v>
      </c>
      <c r="F35" s="64" t="s">
        <v>76</v>
      </c>
      <c r="G35" s="60"/>
      <c r="H35" s="60"/>
      <c r="I35" s="487" t="str">
        <f t="shared" si="0"/>
        <v>Household Reference Person Characteristics</v>
      </c>
      <c r="J35" s="62" t="s">
        <v>76</v>
      </c>
      <c r="K35" s="60" t="s">
        <v>76</v>
      </c>
      <c r="L35" s="62" t="s">
        <v>76</v>
      </c>
      <c r="M35" s="63" t="s">
        <v>76</v>
      </c>
      <c r="N35" s="64" t="s">
        <v>76</v>
      </c>
    </row>
    <row r="36" spans="1:14" ht="15">
      <c r="A36" s="61" t="s">
        <v>2</v>
      </c>
      <c r="B36" s="62" t="s">
        <v>76</v>
      </c>
      <c r="C36" s="60" t="s">
        <v>76</v>
      </c>
      <c r="D36" s="62" t="s">
        <v>76</v>
      </c>
      <c r="E36" s="63" t="s">
        <v>76</v>
      </c>
      <c r="F36" s="64" t="s">
        <v>76</v>
      </c>
      <c r="G36" s="60"/>
      <c r="H36" s="60"/>
      <c r="I36" s="487" t="str">
        <f t="shared" si="0"/>
        <v>Age</v>
      </c>
      <c r="J36" s="62" t="s">
        <v>76</v>
      </c>
      <c r="K36" s="60" t="s">
        <v>76</v>
      </c>
      <c r="L36" s="62" t="s">
        <v>76</v>
      </c>
      <c r="M36" s="63" t="s">
        <v>76</v>
      </c>
      <c r="N36" s="64" t="s">
        <v>76</v>
      </c>
    </row>
    <row r="37" spans="1:14" ht="15">
      <c r="A37" s="61" t="s">
        <v>1246</v>
      </c>
      <c r="B37" s="62" t="s">
        <v>76</v>
      </c>
      <c r="C37" s="60" t="s">
        <v>76</v>
      </c>
      <c r="D37" s="62" t="s">
        <v>76</v>
      </c>
      <c r="E37" s="63" t="s">
        <v>76</v>
      </c>
      <c r="F37" s="64" t="s">
        <v>76</v>
      </c>
      <c r="G37" s="60"/>
      <c r="H37" s="60"/>
      <c r="I37" s="487" t="str">
        <f t="shared" si="0"/>
        <v>[REF: 35 to 39]</v>
      </c>
      <c r="J37" s="62" t="s">
        <v>76</v>
      </c>
      <c r="K37" s="60" t="s">
        <v>76</v>
      </c>
      <c r="L37" s="62" t="s">
        <v>76</v>
      </c>
      <c r="M37" s="63" t="s">
        <v>76</v>
      </c>
      <c r="N37" s="64" t="s">
        <v>76</v>
      </c>
    </row>
    <row r="38" spans="1:14" ht="15">
      <c r="A38" s="61" t="s">
        <v>1247</v>
      </c>
      <c r="B38" s="62">
        <v>2243</v>
      </c>
      <c r="C38" s="60" t="s">
        <v>1229</v>
      </c>
      <c r="D38" s="62" t="s">
        <v>1248</v>
      </c>
      <c r="E38" s="63">
        <v>2.1</v>
      </c>
      <c r="F38" s="64">
        <v>0.03</v>
      </c>
      <c r="G38" s="60"/>
      <c r="H38" s="60"/>
      <c r="I38" s="487" t="str">
        <f t="shared" si="0"/>
        <v>24 or younger</v>
      </c>
      <c r="J38" s="62">
        <v>1158.0999999999999</v>
      </c>
      <c r="K38" s="60" t="s">
        <v>76</v>
      </c>
      <c r="L38" s="62" t="s">
        <v>1249</v>
      </c>
      <c r="M38" s="63">
        <v>1.5</v>
      </c>
      <c r="N38" s="64">
        <v>0.15</v>
      </c>
    </row>
    <row r="39" spans="1:14" ht="15">
      <c r="A39" s="61" t="s">
        <v>1250</v>
      </c>
      <c r="B39" s="62">
        <v>1640.8</v>
      </c>
      <c r="C39" s="60" t="s">
        <v>1229</v>
      </c>
      <c r="D39" s="62" t="s">
        <v>1251</v>
      </c>
      <c r="E39" s="63">
        <v>2.1</v>
      </c>
      <c r="F39" s="64">
        <v>0.03</v>
      </c>
      <c r="G39" s="60"/>
      <c r="H39" s="60"/>
      <c r="I39" s="487" t="str">
        <f t="shared" si="0"/>
        <v>25 to 29</v>
      </c>
      <c r="J39" s="62">
        <v>154.19999999999999</v>
      </c>
      <c r="K39" s="60" t="s">
        <v>76</v>
      </c>
      <c r="L39" s="62" t="s">
        <v>1252</v>
      </c>
      <c r="M39" s="63">
        <v>0.3</v>
      </c>
      <c r="N39" s="64">
        <v>0.79</v>
      </c>
    </row>
    <row r="40" spans="1:14" ht="15">
      <c r="A40" s="61" t="s">
        <v>1253</v>
      </c>
      <c r="B40" s="62">
        <v>615.6</v>
      </c>
      <c r="C40" s="60" t="s">
        <v>76</v>
      </c>
      <c r="D40" s="62" t="s">
        <v>1254</v>
      </c>
      <c r="E40" s="63">
        <v>0.9</v>
      </c>
      <c r="F40" s="64">
        <v>0.35</v>
      </c>
      <c r="G40" s="60"/>
      <c r="H40" s="60"/>
      <c r="I40" s="487" t="str">
        <f t="shared" si="0"/>
        <v>30 to 34</v>
      </c>
      <c r="J40" s="62">
        <v>-48.6</v>
      </c>
      <c r="K40" s="60" t="s">
        <v>76</v>
      </c>
      <c r="L40" s="62" t="s">
        <v>1255</v>
      </c>
      <c r="M40" s="63">
        <v>-0.1</v>
      </c>
      <c r="N40" s="64">
        <v>0.92</v>
      </c>
    </row>
    <row r="41" spans="1:14" ht="15">
      <c r="A41" s="61" t="s">
        <v>1256</v>
      </c>
      <c r="B41" s="62">
        <v>1436.4</v>
      </c>
      <c r="C41" s="60" t="s">
        <v>1229</v>
      </c>
      <c r="D41" s="62" t="s">
        <v>1257</v>
      </c>
      <c r="E41" s="63">
        <v>2.2999999999999998</v>
      </c>
      <c r="F41" s="64">
        <v>0.02</v>
      </c>
      <c r="G41" s="60"/>
      <c r="H41" s="60"/>
      <c r="I41" s="487" t="str">
        <f t="shared" si="0"/>
        <v>40 to 44</v>
      </c>
      <c r="J41" s="62">
        <v>301.3</v>
      </c>
      <c r="K41" s="60" t="s">
        <v>76</v>
      </c>
      <c r="L41" s="62" t="s">
        <v>1258</v>
      </c>
      <c r="M41" s="63">
        <v>0.6</v>
      </c>
      <c r="N41" s="64">
        <v>0.53</v>
      </c>
    </row>
    <row r="42" spans="1:14" ht="15">
      <c r="A42" s="61" t="s">
        <v>1259</v>
      </c>
      <c r="B42" s="62">
        <v>1293</v>
      </c>
      <c r="C42" s="60" t="s">
        <v>1260</v>
      </c>
      <c r="D42" s="62" t="s">
        <v>1261</v>
      </c>
      <c r="E42" s="63">
        <v>1.9</v>
      </c>
      <c r="F42" s="64">
        <v>0.05</v>
      </c>
      <c r="G42" s="60"/>
      <c r="H42" s="60"/>
      <c r="I42" s="487" t="str">
        <f t="shared" si="0"/>
        <v>45 to 49</v>
      </c>
      <c r="J42" s="62">
        <v>341.9</v>
      </c>
      <c r="K42" s="60" t="s">
        <v>76</v>
      </c>
      <c r="L42" s="62" t="s">
        <v>1262</v>
      </c>
      <c r="M42" s="63">
        <v>0.7</v>
      </c>
      <c r="N42" s="64">
        <v>0.5</v>
      </c>
    </row>
    <row r="43" spans="1:14" ht="15">
      <c r="A43" s="61" t="s">
        <v>1263</v>
      </c>
      <c r="B43" s="62">
        <v>1238.7</v>
      </c>
      <c r="C43" s="60" t="s">
        <v>1260</v>
      </c>
      <c r="D43" s="62" t="s">
        <v>1264</v>
      </c>
      <c r="E43" s="63">
        <v>1.7</v>
      </c>
      <c r="F43" s="64">
        <v>0.08</v>
      </c>
      <c r="G43" s="60"/>
      <c r="H43" s="60"/>
      <c r="I43" s="487" t="str">
        <f t="shared" si="0"/>
        <v>50 to 54</v>
      </c>
      <c r="J43" s="62">
        <v>504.5</v>
      </c>
      <c r="K43" s="60" t="s">
        <v>76</v>
      </c>
      <c r="L43" s="62" t="s">
        <v>1265</v>
      </c>
      <c r="M43" s="63">
        <v>0.9</v>
      </c>
      <c r="N43" s="64">
        <v>0.34</v>
      </c>
    </row>
    <row r="44" spans="1:14" ht="15">
      <c r="A44" s="61" t="s">
        <v>1266</v>
      </c>
      <c r="B44" s="62">
        <v>1148.8</v>
      </c>
      <c r="C44" s="60" t="s">
        <v>76</v>
      </c>
      <c r="D44" s="62" t="s">
        <v>1267</v>
      </c>
      <c r="E44" s="63">
        <v>1.5</v>
      </c>
      <c r="F44" s="64">
        <v>0.12</v>
      </c>
      <c r="G44" s="60"/>
      <c r="H44" s="60"/>
      <c r="I44" s="487" t="str">
        <f t="shared" si="0"/>
        <v>55 to 59</v>
      </c>
      <c r="J44" s="62">
        <v>-341.2</v>
      </c>
      <c r="K44" s="60" t="s">
        <v>76</v>
      </c>
      <c r="L44" s="62" t="s">
        <v>1268</v>
      </c>
      <c r="M44" s="63">
        <v>-0.6</v>
      </c>
      <c r="N44" s="64">
        <v>0.54</v>
      </c>
    </row>
    <row r="45" spans="1:14" ht="15">
      <c r="A45" s="61" t="s">
        <v>1269</v>
      </c>
      <c r="B45" s="62">
        <v>1326.4</v>
      </c>
      <c r="C45" s="60" t="s">
        <v>1260</v>
      </c>
      <c r="D45" s="62" t="s">
        <v>1270</v>
      </c>
      <c r="E45" s="63">
        <v>1.7</v>
      </c>
      <c r="F45" s="64">
        <v>0.08</v>
      </c>
      <c r="G45" s="60"/>
      <c r="H45" s="60"/>
      <c r="I45" s="487" t="str">
        <f t="shared" si="0"/>
        <v>60 to 64</v>
      </c>
      <c r="J45" s="62">
        <v>-323.10000000000002</v>
      </c>
      <c r="K45" s="60" t="s">
        <v>76</v>
      </c>
      <c r="L45" s="62" t="s">
        <v>1271</v>
      </c>
      <c r="M45" s="63">
        <v>-0.6</v>
      </c>
      <c r="N45" s="64">
        <v>0.56999999999999995</v>
      </c>
    </row>
    <row r="46" spans="1:14" ht="15">
      <c r="A46" s="61" t="s">
        <v>1272</v>
      </c>
      <c r="B46" s="62">
        <v>1612.8</v>
      </c>
      <c r="C46" s="60" t="s">
        <v>1229</v>
      </c>
      <c r="D46" s="62" t="s">
        <v>1273</v>
      </c>
      <c r="E46" s="63">
        <v>2.1</v>
      </c>
      <c r="F46" s="64">
        <v>0.04</v>
      </c>
      <c r="G46" s="60"/>
      <c r="H46" s="60"/>
      <c r="I46" s="487" t="str">
        <f t="shared" si="0"/>
        <v>65 to 69</v>
      </c>
      <c r="J46" s="62">
        <v>443.5</v>
      </c>
      <c r="K46" s="60" t="s">
        <v>76</v>
      </c>
      <c r="L46" s="62" t="s">
        <v>1274</v>
      </c>
      <c r="M46" s="63">
        <v>0.8</v>
      </c>
      <c r="N46" s="64">
        <v>0.45</v>
      </c>
    </row>
    <row r="47" spans="1:14" ht="15">
      <c r="A47" s="61" t="s">
        <v>1275</v>
      </c>
      <c r="B47" s="62">
        <v>1920.3</v>
      </c>
      <c r="C47" s="60" t="s">
        <v>1229</v>
      </c>
      <c r="D47" s="62" t="s">
        <v>1276</v>
      </c>
      <c r="E47" s="63">
        <v>2.2999999999999998</v>
      </c>
      <c r="F47" s="64">
        <v>0.02</v>
      </c>
      <c r="G47" s="60"/>
      <c r="H47" s="60"/>
      <c r="I47" s="487" t="str">
        <f t="shared" si="0"/>
        <v>70 to 74</v>
      </c>
      <c r="J47" s="62">
        <v>-64</v>
      </c>
      <c r="K47" s="60" t="s">
        <v>76</v>
      </c>
      <c r="L47" s="62" t="s">
        <v>1277</v>
      </c>
      <c r="M47" s="63">
        <v>-0.1</v>
      </c>
      <c r="N47" s="64">
        <v>0.92</v>
      </c>
    </row>
    <row r="48" spans="1:14" ht="15">
      <c r="A48" s="61" t="s">
        <v>1278</v>
      </c>
      <c r="B48" s="62">
        <v>1116.5</v>
      </c>
      <c r="C48" s="60" t="s">
        <v>76</v>
      </c>
      <c r="D48" s="62" t="s">
        <v>1279</v>
      </c>
      <c r="E48" s="63">
        <v>1.3</v>
      </c>
      <c r="F48" s="64">
        <v>0.2</v>
      </c>
      <c r="G48" s="60"/>
      <c r="H48" s="60"/>
      <c r="I48" s="487" t="str">
        <f t="shared" si="0"/>
        <v>75 to 79</v>
      </c>
      <c r="J48" s="62">
        <v>-322</v>
      </c>
      <c r="K48" s="60" t="s">
        <v>76</v>
      </c>
      <c r="L48" s="62" t="s">
        <v>1280</v>
      </c>
      <c r="M48" s="63">
        <v>-0.5</v>
      </c>
      <c r="N48" s="64">
        <v>0.63</v>
      </c>
    </row>
    <row r="49" spans="1:14" ht="15">
      <c r="A49" s="61" t="s">
        <v>1281</v>
      </c>
      <c r="B49" s="62">
        <v>342.8</v>
      </c>
      <c r="C49" s="60" t="s">
        <v>76</v>
      </c>
      <c r="D49" s="62" t="s">
        <v>1282</v>
      </c>
      <c r="E49" s="63">
        <v>0.4</v>
      </c>
      <c r="F49" s="64">
        <v>0.69</v>
      </c>
      <c r="G49" s="60"/>
      <c r="H49" s="60"/>
      <c r="I49" s="487" t="str">
        <f t="shared" si="0"/>
        <v>80 or older</v>
      </c>
      <c r="J49" s="62">
        <v>-820.7</v>
      </c>
      <c r="K49" s="60" t="s">
        <v>76</v>
      </c>
      <c r="L49" s="62" t="s">
        <v>1283</v>
      </c>
      <c r="M49" s="63">
        <v>-1.3</v>
      </c>
      <c r="N49" s="64">
        <v>0.2</v>
      </c>
    </row>
    <row r="50" spans="1:14" ht="15">
      <c r="A50" s="61"/>
      <c r="B50" s="62"/>
      <c r="C50" s="60"/>
      <c r="D50" s="62"/>
      <c r="E50" s="63"/>
      <c r="F50" s="64"/>
      <c r="G50" s="60"/>
      <c r="H50" s="60"/>
      <c r="I50" s="487"/>
      <c r="J50" s="62"/>
      <c r="K50" s="60"/>
      <c r="L50" s="62"/>
      <c r="M50" s="63"/>
      <c r="N50" s="64"/>
    </row>
    <row r="51" spans="1:14" ht="15">
      <c r="A51" s="61" t="s">
        <v>1284</v>
      </c>
      <c r="B51" s="62" t="s">
        <v>76</v>
      </c>
      <c r="C51" s="60" t="s">
        <v>76</v>
      </c>
      <c r="D51" s="62" t="s">
        <v>76</v>
      </c>
      <c r="E51" s="63" t="s">
        <v>76</v>
      </c>
      <c r="F51" s="64" t="s">
        <v>76</v>
      </c>
      <c r="G51" s="60"/>
      <c r="H51" s="60"/>
      <c r="I51" s="487" t="str">
        <f t="shared" si="0"/>
        <v>[REF: Male]</v>
      </c>
      <c r="J51" s="62" t="s">
        <v>76</v>
      </c>
      <c r="K51" s="60" t="s">
        <v>76</v>
      </c>
      <c r="L51" s="62" t="s">
        <v>76</v>
      </c>
      <c r="M51" s="63" t="s">
        <v>76</v>
      </c>
      <c r="N51" s="64" t="s">
        <v>76</v>
      </c>
    </row>
    <row r="52" spans="1:14" ht="15">
      <c r="A52" s="61" t="s">
        <v>1285</v>
      </c>
      <c r="B52" s="62">
        <v>716.8</v>
      </c>
      <c r="C52" s="60" t="s">
        <v>1229</v>
      </c>
      <c r="D52" s="62" t="s">
        <v>1286</v>
      </c>
      <c r="E52" s="63">
        <v>2.4</v>
      </c>
      <c r="F52" s="64">
        <v>0.02</v>
      </c>
      <c r="G52" s="60"/>
      <c r="H52" s="60"/>
      <c r="I52" s="487" t="str">
        <f t="shared" si="0"/>
        <v>Female</v>
      </c>
      <c r="J52" s="62">
        <v>17.5</v>
      </c>
      <c r="K52" s="60" t="s">
        <v>76</v>
      </c>
      <c r="L52" s="62" t="s">
        <v>1287</v>
      </c>
      <c r="M52" s="63">
        <v>0.1</v>
      </c>
      <c r="N52" s="64">
        <v>0.94</v>
      </c>
    </row>
    <row r="53" spans="1:14" ht="15">
      <c r="A53" s="61"/>
      <c r="B53" s="62"/>
      <c r="C53" s="60"/>
      <c r="D53" s="62"/>
      <c r="E53" s="63"/>
      <c r="F53" s="64"/>
      <c r="G53" s="60"/>
      <c r="H53" s="60"/>
      <c r="I53" s="487"/>
      <c r="J53" s="62"/>
      <c r="K53" s="60"/>
      <c r="L53" s="62"/>
      <c r="M53" s="63"/>
      <c r="N53" s="64"/>
    </row>
    <row r="54" spans="1:14" ht="15">
      <c r="A54" s="61" t="s">
        <v>1288</v>
      </c>
      <c r="B54" s="62" t="s">
        <v>76</v>
      </c>
      <c r="C54" s="60" t="s">
        <v>76</v>
      </c>
      <c r="D54" s="62" t="s">
        <v>76</v>
      </c>
      <c r="E54" s="63" t="s">
        <v>76</v>
      </c>
      <c r="F54" s="64" t="s">
        <v>76</v>
      </c>
      <c r="G54" s="60"/>
      <c r="H54" s="60"/>
      <c r="I54" s="487" t="str">
        <f t="shared" si="0"/>
        <v>[REF: Employed]</v>
      </c>
      <c r="J54" s="62" t="s">
        <v>76</v>
      </c>
      <c r="K54" s="60" t="s">
        <v>76</v>
      </c>
      <c r="L54" s="62" t="s">
        <v>76</v>
      </c>
      <c r="M54" s="63" t="s">
        <v>76</v>
      </c>
      <c r="N54" s="64" t="s">
        <v>76</v>
      </c>
    </row>
    <row r="55" spans="1:14" ht="15">
      <c r="A55" s="61" t="s">
        <v>1289</v>
      </c>
      <c r="B55" s="62">
        <v>-478.8</v>
      </c>
      <c r="C55" s="60" t="s">
        <v>76</v>
      </c>
      <c r="D55" s="62" t="s">
        <v>1290</v>
      </c>
      <c r="E55" s="63">
        <v>-1</v>
      </c>
      <c r="F55" s="64">
        <v>0.32</v>
      </c>
      <c r="G55" s="60"/>
      <c r="H55" s="60"/>
      <c r="I55" s="487" t="str">
        <f t="shared" si="0"/>
        <v>Not employed</v>
      </c>
      <c r="J55" s="62">
        <v>298</v>
      </c>
      <c r="K55" s="60" t="s">
        <v>76</v>
      </c>
      <c r="L55" s="62" t="s">
        <v>1291</v>
      </c>
      <c r="M55" s="63">
        <v>0.8</v>
      </c>
      <c r="N55" s="64">
        <v>0.41</v>
      </c>
    </row>
    <row r="56" spans="1:14" ht="15">
      <c r="A56" s="61"/>
      <c r="B56" s="62"/>
      <c r="C56" s="60"/>
      <c r="D56" s="62"/>
      <c r="E56" s="63"/>
      <c r="F56" s="64"/>
      <c r="G56" s="60"/>
      <c r="H56" s="60"/>
      <c r="I56" s="487"/>
      <c r="J56" s="62"/>
      <c r="K56" s="60"/>
      <c r="L56" s="62"/>
      <c r="M56" s="63"/>
      <c r="N56" s="64"/>
    </row>
    <row r="57" spans="1:14" ht="15">
      <c r="A57" s="61" t="s">
        <v>1292</v>
      </c>
      <c r="B57" s="62" t="s">
        <v>76</v>
      </c>
      <c r="C57" s="60" t="s">
        <v>76</v>
      </c>
      <c r="D57" s="62" t="s">
        <v>76</v>
      </c>
      <c r="E57" s="63" t="s">
        <v>76</v>
      </c>
      <c r="F57" s="64" t="s">
        <v>76</v>
      </c>
      <c r="G57" s="60"/>
      <c r="H57" s="60"/>
      <c r="I57" s="487" t="str">
        <f t="shared" si="0"/>
        <v>Geography</v>
      </c>
      <c r="J57" s="62" t="s">
        <v>76</v>
      </c>
      <c r="K57" s="60" t="s">
        <v>76</v>
      </c>
      <c r="L57" s="62" t="s">
        <v>76</v>
      </c>
      <c r="M57" s="63" t="s">
        <v>76</v>
      </c>
      <c r="N57" s="64" t="s">
        <v>76</v>
      </c>
    </row>
    <row r="58" spans="1:14" ht="15">
      <c r="A58" s="61" t="s">
        <v>1293</v>
      </c>
      <c r="B58" s="62"/>
      <c r="C58" s="60"/>
      <c r="D58" s="62"/>
      <c r="E58" s="63"/>
      <c r="F58" s="64"/>
      <c r="G58" s="60"/>
      <c r="H58" s="60"/>
      <c r="I58" s="487" t="str">
        <f t="shared" si="0"/>
        <v>[REF: Sydney]</v>
      </c>
      <c r="J58" s="62"/>
      <c r="K58" s="60"/>
      <c r="L58" s="62"/>
      <c r="M58" s="63"/>
      <c r="N58" s="64"/>
    </row>
    <row r="59" spans="1:14" ht="15">
      <c r="A59" s="61" t="s">
        <v>1294</v>
      </c>
      <c r="B59" s="62">
        <v>846.3</v>
      </c>
      <c r="C59" s="60" t="s">
        <v>76</v>
      </c>
      <c r="D59" s="62" t="s">
        <v>1295</v>
      </c>
      <c r="E59" s="63">
        <v>1.2</v>
      </c>
      <c r="F59" s="64">
        <v>0.23</v>
      </c>
      <c r="G59" s="60"/>
      <c r="H59" s="60"/>
      <c r="I59" s="487" t="str">
        <f t="shared" si="0"/>
        <v>NSW_balance</v>
      </c>
      <c r="J59" s="62">
        <v>246.4</v>
      </c>
      <c r="K59" s="60" t="s">
        <v>76</v>
      </c>
      <c r="L59" s="62" t="s">
        <v>1296</v>
      </c>
      <c r="M59" s="63">
        <v>0.5</v>
      </c>
      <c r="N59" s="64">
        <v>0.64</v>
      </c>
    </row>
    <row r="60" spans="1:14" ht="15">
      <c r="A60" s="61" t="s">
        <v>232</v>
      </c>
      <c r="B60" s="62">
        <v>807</v>
      </c>
      <c r="C60" s="60" t="s">
        <v>1260</v>
      </c>
      <c r="D60" s="62" t="s">
        <v>1297</v>
      </c>
      <c r="E60" s="63">
        <v>1.8</v>
      </c>
      <c r="F60" s="64">
        <v>7.0000000000000007E-2</v>
      </c>
      <c r="G60" s="60"/>
      <c r="H60" s="60"/>
      <c r="I60" s="487" t="str">
        <f t="shared" si="0"/>
        <v>Melbourne</v>
      </c>
      <c r="J60" s="62">
        <v>-22.4</v>
      </c>
      <c r="K60" s="60" t="s">
        <v>76</v>
      </c>
      <c r="L60" s="62" t="s">
        <v>1298</v>
      </c>
      <c r="M60" s="63">
        <v>-0.1</v>
      </c>
      <c r="N60" s="64">
        <v>0.95</v>
      </c>
    </row>
    <row r="61" spans="1:14" ht="15">
      <c r="A61" s="61" t="s">
        <v>1299</v>
      </c>
      <c r="B61" s="62">
        <v>2376.1999999999998</v>
      </c>
      <c r="C61" s="60" t="s">
        <v>1209</v>
      </c>
      <c r="D61" s="62" t="s">
        <v>1300</v>
      </c>
      <c r="E61" s="63">
        <v>3.1</v>
      </c>
      <c r="F61" s="64">
        <v>0</v>
      </c>
      <c r="G61" s="60"/>
      <c r="H61" s="60"/>
      <c r="I61" s="487" t="str">
        <f t="shared" si="0"/>
        <v>VIC_balance</v>
      </c>
      <c r="J61" s="62">
        <v>187.8</v>
      </c>
      <c r="K61" s="60" t="s">
        <v>76</v>
      </c>
      <c r="L61" s="62" t="s">
        <v>1301</v>
      </c>
      <c r="M61" s="63">
        <v>0.3</v>
      </c>
      <c r="N61" s="64">
        <v>0.74</v>
      </c>
    </row>
    <row r="62" spans="1:14" ht="15">
      <c r="A62" s="61" t="s">
        <v>230</v>
      </c>
      <c r="B62" s="62">
        <v>-509.7</v>
      </c>
      <c r="C62" s="60" t="s">
        <v>76</v>
      </c>
      <c r="D62" s="62" t="s">
        <v>1302</v>
      </c>
      <c r="E62" s="63">
        <v>-0.9</v>
      </c>
      <c r="F62" s="64">
        <v>0.35</v>
      </c>
      <c r="G62" s="60"/>
      <c r="H62" s="60"/>
      <c r="I62" s="487" t="str">
        <f t="shared" si="0"/>
        <v>Brisbane</v>
      </c>
      <c r="J62" s="62">
        <v>-105.2</v>
      </c>
      <c r="K62" s="60" t="s">
        <v>76</v>
      </c>
      <c r="L62" s="62" t="s">
        <v>1303</v>
      </c>
      <c r="M62" s="63">
        <v>-0.3</v>
      </c>
      <c r="N62" s="64">
        <v>0.8</v>
      </c>
    </row>
    <row r="63" spans="1:14" ht="15">
      <c r="A63" s="61" t="s">
        <v>1304</v>
      </c>
      <c r="B63" s="62">
        <v>1533.4</v>
      </c>
      <c r="C63" s="60" t="s">
        <v>1229</v>
      </c>
      <c r="D63" s="62" t="s">
        <v>1305</v>
      </c>
      <c r="E63" s="63">
        <v>2.1</v>
      </c>
      <c r="F63" s="64">
        <v>0.03</v>
      </c>
      <c r="G63" s="60"/>
      <c r="H63" s="60"/>
      <c r="I63" s="487" t="str">
        <f t="shared" si="0"/>
        <v>QLD_balance</v>
      </c>
      <c r="J63" s="62">
        <v>-53.6</v>
      </c>
      <c r="K63" s="60" t="s">
        <v>76</v>
      </c>
      <c r="L63" s="62" t="s">
        <v>1306</v>
      </c>
      <c r="M63" s="63">
        <v>-0.1</v>
      </c>
      <c r="N63" s="64">
        <v>0.92</v>
      </c>
    </row>
    <row r="64" spans="1:14" ht="15">
      <c r="A64" s="61" t="s">
        <v>233</v>
      </c>
      <c r="B64" s="62">
        <v>925.6</v>
      </c>
      <c r="C64" s="60" t="s">
        <v>1260</v>
      </c>
      <c r="D64" s="62" t="s">
        <v>1307</v>
      </c>
      <c r="E64" s="63">
        <v>1.7</v>
      </c>
      <c r="F64" s="64">
        <v>0.09</v>
      </c>
      <c r="G64" s="60"/>
      <c r="H64" s="60"/>
      <c r="I64" s="487" t="str">
        <f t="shared" si="0"/>
        <v>Adelaide</v>
      </c>
      <c r="J64" s="62">
        <v>559.1</v>
      </c>
      <c r="K64" s="60" t="s">
        <v>76</v>
      </c>
      <c r="L64" s="62" t="s">
        <v>1308</v>
      </c>
      <c r="M64" s="63">
        <v>1.4</v>
      </c>
      <c r="N64" s="64">
        <v>0.17</v>
      </c>
    </row>
    <row r="65" spans="1:14" ht="15">
      <c r="A65" s="61" t="s">
        <v>1309</v>
      </c>
      <c r="B65" s="62">
        <v>-517.20000000000005</v>
      </c>
      <c r="C65" s="60" t="s">
        <v>76</v>
      </c>
      <c r="D65" s="62" t="s">
        <v>1310</v>
      </c>
      <c r="E65" s="63">
        <v>-0.6</v>
      </c>
      <c r="F65" s="64">
        <v>0.56999999999999995</v>
      </c>
      <c r="G65" s="60"/>
      <c r="H65" s="60"/>
      <c r="I65" s="487" t="str">
        <f t="shared" si="0"/>
        <v>SA_balance</v>
      </c>
      <c r="J65" s="62">
        <v>-2.5</v>
      </c>
      <c r="K65" s="60" t="s">
        <v>76</v>
      </c>
      <c r="L65" s="62" t="s">
        <v>1311</v>
      </c>
      <c r="M65" s="63">
        <v>0</v>
      </c>
      <c r="N65" s="64">
        <v>1</v>
      </c>
    </row>
    <row r="66" spans="1:14" ht="15">
      <c r="A66" s="61" t="s">
        <v>234</v>
      </c>
      <c r="B66" s="62">
        <v>-993.5</v>
      </c>
      <c r="C66" s="60" t="s">
        <v>1260</v>
      </c>
      <c r="D66" s="62" t="s">
        <v>1312</v>
      </c>
      <c r="E66" s="63">
        <v>-1.8</v>
      </c>
      <c r="F66" s="64">
        <v>7.0000000000000007E-2</v>
      </c>
      <c r="G66" s="60"/>
      <c r="H66" s="60"/>
      <c r="I66" s="487" t="str">
        <f t="shared" si="0"/>
        <v>Perth</v>
      </c>
      <c r="J66" s="62">
        <v>-437.7</v>
      </c>
      <c r="K66" s="60" t="s">
        <v>76</v>
      </c>
      <c r="L66" s="62" t="s">
        <v>1313</v>
      </c>
      <c r="M66" s="63">
        <v>-1.1000000000000001</v>
      </c>
      <c r="N66" s="64">
        <v>0.28000000000000003</v>
      </c>
    </row>
    <row r="67" spans="1:14" ht="15">
      <c r="A67" s="61" t="s">
        <v>1314</v>
      </c>
      <c r="B67" s="62">
        <v>796.5</v>
      </c>
      <c r="C67" s="60" t="s">
        <v>76</v>
      </c>
      <c r="D67" s="62" t="s">
        <v>1315</v>
      </c>
      <c r="E67" s="63">
        <v>0.8</v>
      </c>
      <c r="F67" s="64">
        <v>0.4</v>
      </c>
      <c r="G67" s="60"/>
      <c r="H67" s="60"/>
      <c r="I67" s="487" t="str">
        <f t="shared" si="0"/>
        <v>WA_balance</v>
      </c>
      <c r="J67" s="62">
        <v>451.5</v>
      </c>
      <c r="K67" s="60" t="s">
        <v>76</v>
      </c>
      <c r="L67" s="62" t="s">
        <v>1316</v>
      </c>
      <c r="M67" s="63">
        <v>0.6</v>
      </c>
      <c r="N67" s="64">
        <v>0.53</v>
      </c>
    </row>
    <row r="68" spans="1:14" ht="15">
      <c r="A68" s="61" t="s">
        <v>235</v>
      </c>
      <c r="B68" s="62">
        <v>751.7</v>
      </c>
      <c r="C68" s="60" t="s">
        <v>76</v>
      </c>
      <c r="D68" s="62" t="s">
        <v>1317</v>
      </c>
      <c r="E68" s="63">
        <v>1.2</v>
      </c>
      <c r="F68" s="64">
        <v>0.25</v>
      </c>
      <c r="G68" s="60"/>
      <c r="H68" s="60"/>
      <c r="I68" s="487" t="str">
        <f t="shared" si="0"/>
        <v>Hobart</v>
      </c>
      <c r="J68" s="62">
        <v>1239.0999999999999</v>
      </c>
      <c r="K68" s="60" t="s">
        <v>1229</v>
      </c>
      <c r="L68" s="62" t="s">
        <v>1318</v>
      </c>
      <c r="M68" s="63">
        <v>2.5</v>
      </c>
      <c r="N68" s="64">
        <v>0.01</v>
      </c>
    </row>
    <row r="69" spans="1:14" ht="15">
      <c r="A69" s="61" t="s">
        <v>1319</v>
      </c>
      <c r="B69" s="62">
        <v>925.8</v>
      </c>
      <c r="C69" s="60" t="s">
        <v>76</v>
      </c>
      <c r="D69" s="62" t="s">
        <v>1320</v>
      </c>
      <c r="E69" s="63">
        <v>0.9</v>
      </c>
      <c r="F69" s="64">
        <v>0.35</v>
      </c>
      <c r="G69" s="60"/>
      <c r="H69" s="60"/>
      <c r="I69" s="487" t="str">
        <f t="shared" si="0"/>
        <v>TAS_balance</v>
      </c>
      <c r="J69" s="62">
        <v>708.8</v>
      </c>
      <c r="K69" s="60" t="s">
        <v>76</v>
      </c>
      <c r="L69" s="62" t="s">
        <v>1321</v>
      </c>
      <c r="M69" s="63">
        <v>1</v>
      </c>
      <c r="N69" s="64">
        <v>0.34</v>
      </c>
    </row>
    <row r="70" spans="1:14" ht="15">
      <c r="A70" s="61" t="s">
        <v>1322</v>
      </c>
      <c r="B70" s="62">
        <v>565.70000000000005</v>
      </c>
      <c r="C70" s="60" t="s">
        <v>76</v>
      </c>
      <c r="D70" s="62" t="s">
        <v>1323</v>
      </c>
      <c r="E70" s="63">
        <v>0.9</v>
      </c>
      <c r="F70" s="64">
        <v>0.37</v>
      </c>
      <c r="G70" s="60"/>
      <c r="H70" s="60"/>
      <c r="I70" s="487" t="str">
        <f t="shared" si="0"/>
        <v>ACT_NT</v>
      </c>
      <c r="J70" s="62">
        <v>1036.0999999999999</v>
      </c>
      <c r="K70" s="60" t="s">
        <v>1229</v>
      </c>
      <c r="L70" s="62" t="s">
        <v>1324</v>
      </c>
      <c r="M70" s="63">
        <v>2.2000000000000002</v>
      </c>
      <c r="N70" s="64">
        <v>0.03</v>
      </c>
    </row>
    <row r="71" spans="1:14" ht="15">
      <c r="A71" s="61"/>
      <c r="B71" s="62"/>
      <c r="C71" s="60"/>
      <c r="D71" s="62"/>
      <c r="E71" s="63"/>
      <c r="F71" s="64"/>
      <c r="G71" s="60"/>
      <c r="H71" s="60"/>
      <c r="I71" s="487"/>
      <c r="J71" s="62"/>
      <c r="K71" s="60"/>
      <c r="L71" s="62"/>
      <c r="M71" s="63"/>
      <c r="N71" s="64"/>
    </row>
    <row r="72" spans="1:14" ht="15">
      <c r="A72" s="61" t="s">
        <v>1325</v>
      </c>
      <c r="B72" s="62"/>
      <c r="C72" s="60"/>
      <c r="D72" s="62"/>
      <c r="E72" s="63"/>
      <c r="F72" s="64"/>
      <c r="G72" s="60"/>
      <c r="H72" s="60"/>
      <c r="I72" s="487" t="str">
        <f t="shared" si="0"/>
        <v>Housing Tenure Variables</v>
      </c>
      <c r="J72" s="62"/>
      <c r="K72" s="60"/>
      <c r="L72" s="62"/>
      <c r="M72" s="63"/>
      <c r="N72" s="64"/>
    </row>
    <row r="73" spans="1:14" ht="15">
      <c r="A73" s="61" t="s">
        <v>1326</v>
      </c>
      <c r="B73" s="62"/>
      <c r="C73" s="60"/>
      <c r="D73" s="62"/>
      <c r="E73" s="63"/>
      <c r="F73" s="64"/>
      <c r="G73" s="60"/>
      <c r="H73" s="60"/>
      <c r="I73" s="487" t="str">
        <f t="shared" si="0"/>
        <v>[REF: 2 bedrooms]</v>
      </c>
      <c r="J73" s="62"/>
      <c r="K73" s="60"/>
      <c r="L73" s="62"/>
      <c r="M73" s="63"/>
      <c r="N73" s="64"/>
    </row>
    <row r="74" spans="1:14" ht="15">
      <c r="A74" s="61" t="s">
        <v>1327</v>
      </c>
      <c r="B74" s="62">
        <v>134.9</v>
      </c>
      <c r="C74" s="60" t="s">
        <v>76</v>
      </c>
      <c r="D74" s="62" t="s">
        <v>1328</v>
      </c>
      <c r="E74" s="63">
        <v>0.2</v>
      </c>
      <c r="F74" s="64">
        <v>0.84</v>
      </c>
      <c r="G74" s="60"/>
      <c r="H74" s="60"/>
      <c r="I74" s="487" t="str">
        <f t="shared" si="0"/>
        <v>1 or less</v>
      </c>
      <c r="J74" s="62">
        <v>247.5</v>
      </c>
      <c r="K74" s="60" t="s">
        <v>76</v>
      </c>
      <c r="L74" s="62" t="s">
        <v>1329</v>
      </c>
      <c r="M74" s="63">
        <v>0.5</v>
      </c>
      <c r="N74" s="64">
        <v>0.62</v>
      </c>
    </row>
    <row r="75" spans="1:14" ht="15">
      <c r="A75" s="61">
        <v>3</v>
      </c>
      <c r="B75" s="62">
        <v>1251.2</v>
      </c>
      <c r="C75" s="60" t="s">
        <v>1209</v>
      </c>
      <c r="D75" s="62" t="s">
        <v>1330</v>
      </c>
      <c r="E75" s="63">
        <v>3.3</v>
      </c>
      <c r="F75" s="64">
        <v>0</v>
      </c>
      <c r="G75" s="60"/>
      <c r="H75" s="60"/>
      <c r="I75" s="487">
        <f t="shared" si="0"/>
        <v>3</v>
      </c>
      <c r="J75" s="62">
        <v>-338.7</v>
      </c>
      <c r="K75" s="60" t="s">
        <v>76</v>
      </c>
      <c r="L75" s="62" t="s">
        <v>1331</v>
      </c>
      <c r="M75" s="63">
        <v>-1.2</v>
      </c>
      <c r="N75" s="64">
        <v>0.24</v>
      </c>
    </row>
    <row r="76" spans="1:14" ht="15">
      <c r="A76" s="61">
        <v>4</v>
      </c>
      <c r="B76" s="62">
        <v>2831.7</v>
      </c>
      <c r="C76" s="60" t="s">
        <v>1209</v>
      </c>
      <c r="D76" s="62" t="s">
        <v>1332</v>
      </c>
      <c r="E76" s="63">
        <v>6</v>
      </c>
      <c r="F76" s="64">
        <v>0</v>
      </c>
      <c r="G76" s="60"/>
      <c r="H76" s="60"/>
      <c r="I76" s="487">
        <f t="shared" si="0"/>
        <v>4</v>
      </c>
      <c r="J76" s="62">
        <v>-313.39999999999998</v>
      </c>
      <c r="K76" s="60" t="s">
        <v>76</v>
      </c>
      <c r="L76" s="62" t="s">
        <v>1333</v>
      </c>
      <c r="M76" s="63">
        <v>-0.9</v>
      </c>
      <c r="N76" s="64">
        <v>0.38</v>
      </c>
    </row>
    <row r="77" spans="1:14" ht="15">
      <c r="A77" s="61" t="s">
        <v>1334</v>
      </c>
      <c r="B77" s="62">
        <v>2157.8000000000002</v>
      </c>
      <c r="C77" s="60" t="s">
        <v>1209</v>
      </c>
      <c r="D77" s="62" t="s">
        <v>1335</v>
      </c>
      <c r="E77" s="63">
        <v>2.7</v>
      </c>
      <c r="F77" s="64">
        <v>0.01</v>
      </c>
      <c r="G77" s="60"/>
      <c r="H77" s="60"/>
      <c r="I77" s="487" t="str">
        <f t="shared" si="0"/>
        <v>5 or more</v>
      </c>
      <c r="J77" s="62">
        <v>-245.1</v>
      </c>
      <c r="K77" s="60" t="s">
        <v>76</v>
      </c>
      <c r="L77" s="62" t="s">
        <v>1336</v>
      </c>
      <c r="M77" s="63">
        <v>-0.4</v>
      </c>
      <c r="N77" s="64">
        <v>0.69</v>
      </c>
    </row>
    <row r="78" spans="1:14" ht="15">
      <c r="A78" s="61"/>
      <c r="B78" s="62"/>
      <c r="C78" s="60"/>
      <c r="D78" s="62"/>
      <c r="E78" s="63"/>
      <c r="F78" s="64"/>
      <c r="G78" s="60"/>
      <c r="H78" s="60"/>
      <c r="I78" s="487"/>
      <c r="J78" s="62"/>
      <c r="K78" s="60"/>
      <c r="L78" s="62"/>
      <c r="M78" s="63"/>
      <c r="N78" s="64"/>
    </row>
    <row r="79" spans="1:14" ht="15">
      <c r="A79" s="61" t="s">
        <v>1337</v>
      </c>
      <c r="B79" s="62"/>
      <c r="C79" s="60"/>
      <c r="D79" s="62"/>
      <c r="E79" s="63"/>
      <c r="F79" s="64"/>
      <c r="G79" s="60"/>
      <c r="H79" s="60"/>
      <c r="I79" s="487" t="str">
        <f t="shared" si="0"/>
        <v>[REF: Owner with a mortgage]</v>
      </c>
      <c r="J79" s="62"/>
      <c r="K79" s="60"/>
      <c r="L79" s="62"/>
      <c r="M79" s="63"/>
      <c r="N79" s="64"/>
    </row>
    <row r="80" spans="1:14" ht="15">
      <c r="A80" s="61" t="s">
        <v>1338</v>
      </c>
      <c r="B80" s="62">
        <v>-1441.4</v>
      </c>
      <c r="C80" s="60" t="s">
        <v>1209</v>
      </c>
      <c r="D80" s="62" t="s">
        <v>1339</v>
      </c>
      <c r="E80" s="63">
        <v>-3.3</v>
      </c>
      <c r="F80" s="64">
        <v>0</v>
      </c>
      <c r="G80" s="60"/>
      <c r="H80" s="60"/>
      <c r="I80" s="487" t="str">
        <f t="shared" si="0"/>
        <v>Owner without mortgage</v>
      </c>
      <c r="J80" s="62">
        <v>-818.5</v>
      </c>
      <c r="K80" s="60" t="s">
        <v>1229</v>
      </c>
      <c r="L80" s="62" t="s">
        <v>1340</v>
      </c>
      <c r="M80" s="63">
        <v>-2.5</v>
      </c>
      <c r="N80" s="64">
        <v>0.01</v>
      </c>
    </row>
    <row r="81" spans="1:14" ht="15">
      <c r="A81" s="61" t="s">
        <v>1341</v>
      </c>
      <c r="B81" s="62">
        <v>-3463.9</v>
      </c>
      <c r="C81" s="60" t="s">
        <v>1209</v>
      </c>
      <c r="D81" s="62" t="s">
        <v>1342</v>
      </c>
      <c r="E81" s="63">
        <v>-7</v>
      </c>
      <c r="F81" s="64">
        <v>0</v>
      </c>
      <c r="G81" s="60"/>
      <c r="H81" s="60"/>
      <c r="I81" s="487" t="str">
        <f t="shared" si="0"/>
        <v>Renter</v>
      </c>
      <c r="J81" s="62">
        <v>-99</v>
      </c>
      <c r="K81" s="60" t="s">
        <v>76</v>
      </c>
      <c r="L81" s="62" t="s">
        <v>1343</v>
      </c>
      <c r="M81" s="63">
        <v>-0.3</v>
      </c>
      <c r="N81" s="64">
        <v>0.79</v>
      </c>
    </row>
    <row r="82" spans="1:14" ht="15">
      <c r="A82" s="61"/>
      <c r="B82" s="62"/>
      <c r="C82" s="60"/>
      <c r="D82" s="62"/>
      <c r="E82" s="63"/>
      <c r="F82" s="64"/>
      <c r="G82" s="60"/>
      <c r="H82" s="60"/>
      <c r="I82" s="487"/>
      <c r="J82" s="62"/>
      <c r="K82" s="60"/>
      <c r="L82" s="62"/>
      <c r="M82" s="63"/>
      <c r="N82" s="64"/>
    </row>
    <row r="83" spans="1:14" ht="15">
      <c r="A83" s="61" t="s">
        <v>1344</v>
      </c>
      <c r="B83" s="62" t="s">
        <v>76</v>
      </c>
      <c r="C83" s="60" t="s">
        <v>76</v>
      </c>
      <c r="D83" s="62" t="s">
        <v>76</v>
      </c>
      <c r="E83" s="63" t="s">
        <v>76</v>
      </c>
      <c r="F83" s="64" t="s">
        <v>76</v>
      </c>
      <c r="G83" s="60"/>
      <c r="H83" s="60"/>
      <c r="I83" s="487" t="str">
        <f t="shared" si="0"/>
        <v>Total Gross Household Income from All Sources</v>
      </c>
      <c r="J83" s="62" t="s">
        <v>76</v>
      </c>
      <c r="K83" s="60" t="s">
        <v>76</v>
      </c>
      <c r="L83" s="62" t="s">
        <v>76</v>
      </c>
      <c r="M83" s="63" t="s">
        <v>76</v>
      </c>
      <c r="N83" s="64" t="s">
        <v>76</v>
      </c>
    </row>
    <row r="84" spans="1:14" ht="15">
      <c r="A84" s="61" t="s">
        <v>1345</v>
      </c>
      <c r="B84" s="62"/>
      <c r="C84" s="60"/>
      <c r="D84" s="62"/>
      <c r="E84" s="63"/>
      <c r="F84" s="64"/>
      <c r="G84" s="60"/>
      <c r="H84" s="60"/>
      <c r="I84" s="487" t="str">
        <f t="shared" ref="I84:I122" si="1">A84</f>
        <v>[Income levels measured in 2015 dollars]</v>
      </c>
      <c r="J84" s="62"/>
      <c r="K84" s="60"/>
      <c r="L84" s="62"/>
      <c r="M84" s="63"/>
      <c r="N84" s="64"/>
    </row>
    <row r="85" spans="1:14" ht="15">
      <c r="A85" s="61" t="s">
        <v>1346</v>
      </c>
      <c r="B85" s="62"/>
      <c r="C85" s="60"/>
      <c r="D85" s="62"/>
      <c r="E85" s="63"/>
      <c r="F85" s="64"/>
      <c r="G85" s="60"/>
      <c r="H85" s="60"/>
      <c r="I85" s="487" t="str">
        <f t="shared" si="1"/>
        <v>[REF: Between $80,000 and $100,000]</v>
      </c>
      <c r="J85" s="62"/>
      <c r="K85" s="60"/>
      <c r="L85" s="62"/>
      <c r="M85" s="63"/>
      <c r="N85" s="64"/>
    </row>
    <row r="86" spans="1:14" ht="15">
      <c r="A86" s="61" t="s">
        <v>1136</v>
      </c>
      <c r="B86" s="62">
        <v>-6210.9</v>
      </c>
      <c r="C86" s="60" t="s">
        <v>1209</v>
      </c>
      <c r="D86" s="62" t="s">
        <v>1347</v>
      </c>
      <c r="E86" s="63">
        <v>-6.4</v>
      </c>
      <c r="F86" s="64">
        <v>0</v>
      </c>
      <c r="G86" s="60"/>
      <c r="H86" s="60"/>
      <c r="I86" s="487" t="str">
        <f t="shared" si="1"/>
        <v>$20,000 or less</v>
      </c>
      <c r="J86" s="62">
        <v>-4673.1000000000004</v>
      </c>
      <c r="K86" s="60" t="s">
        <v>1209</v>
      </c>
      <c r="L86" s="62" t="s">
        <v>1348</v>
      </c>
      <c r="M86" s="63">
        <v>-6.4</v>
      </c>
      <c r="N86" s="64">
        <v>0</v>
      </c>
    </row>
    <row r="87" spans="1:14" ht="15">
      <c r="A87" s="61" t="s">
        <v>1137</v>
      </c>
      <c r="B87" s="62">
        <v>-5842.5</v>
      </c>
      <c r="C87" s="60" t="s">
        <v>1209</v>
      </c>
      <c r="D87" s="62" t="s">
        <v>1349</v>
      </c>
      <c r="E87" s="63">
        <v>-8.1</v>
      </c>
      <c r="F87" s="64">
        <v>0</v>
      </c>
      <c r="G87" s="60"/>
      <c r="H87" s="60"/>
      <c r="I87" s="487" t="str">
        <f t="shared" si="1"/>
        <v>$20,000 to $30,000</v>
      </c>
      <c r="J87" s="62">
        <v>-4300.1000000000004</v>
      </c>
      <c r="K87" s="60" t="s">
        <v>1209</v>
      </c>
      <c r="L87" s="62" t="s">
        <v>1350</v>
      </c>
      <c r="M87" s="63">
        <v>-8</v>
      </c>
      <c r="N87" s="64">
        <v>0</v>
      </c>
    </row>
    <row r="88" spans="1:14" ht="15">
      <c r="A88" s="61" t="s">
        <v>1138</v>
      </c>
      <c r="B88" s="62">
        <v>-5745.6</v>
      </c>
      <c r="C88" s="60" t="s">
        <v>1209</v>
      </c>
      <c r="D88" s="62" t="s">
        <v>1351</v>
      </c>
      <c r="E88" s="63">
        <v>-8.6</v>
      </c>
      <c r="F88" s="64">
        <v>0</v>
      </c>
      <c r="G88" s="60"/>
      <c r="H88" s="60"/>
      <c r="I88" s="487" t="str">
        <f t="shared" si="1"/>
        <v>$30,000 to $40,000</v>
      </c>
      <c r="J88" s="62">
        <v>-3658.2</v>
      </c>
      <c r="K88" s="60" t="s">
        <v>1209</v>
      </c>
      <c r="L88" s="62" t="s">
        <v>1352</v>
      </c>
      <c r="M88" s="63">
        <v>-7.3</v>
      </c>
      <c r="N88" s="64">
        <v>0</v>
      </c>
    </row>
    <row r="89" spans="1:14" ht="15">
      <c r="A89" s="61" t="s">
        <v>1139</v>
      </c>
      <c r="B89" s="62">
        <v>-4999.8</v>
      </c>
      <c r="C89" s="60" t="s">
        <v>1209</v>
      </c>
      <c r="D89" s="62" t="s">
        <v>1353</v>
      </c>
      <c r="E89" s="63">
        <v>-7.4</v>
      </c>
      <c r="F89" s="64">
        <v>0</v>
      </c>
      <c r="G89" s="60"/>
      <c r="H89" s="60"/>
      <c r="I89" s="487" t="str">
        <f t="shared" si="1"/>
        <v>$40,000 to $50,000</v>
      </c>
      <c r="J89" s="62">
        <v>-3308.7</v>
      </c>
      <c r="K89" s="60" t="s">
        <v>1209</v>
      </c>
      <c r="L89" s="62" t="s">
        <v>1354</v>
      </c>
      <c r="M89" s="63">
        <v>-6.5</v>
      </c>
      <c r="N89" s="64">
        <v>0</v>
      </c>
    </row>
    <row r="90" spans="1:14" ht="15">
      <c r="A90" s="61" t="s">
        <v>1140</v>
      </c>
      <c r="B90" s="62">
        <v>-3983.9</v>
      </c>
      <c r="C90" s="60" t="s">
        <v>1209</v>
      </c>
      <c r="D90" s="62" t="s">
        <v>1355</v>
      </c>
      <c r="E90" s="63">
        <v>-5.8</v>
      </c>
      <c r="F90" s="64">
        <v>0</v>
      </c>
      <c r="G90" s="60"/>
      <c r="H90" s="60"/>
      <c r="I90" s="487" t="str">
        <f t="shared" si="1"/>
        <v>$50,000 to $60,000</v>
      </c>
      <c r="J90" s="62">
        <v>-2358.4</v>
      </c>
      <c r="K90" s="60" t="s">
        <v>1209</v>
      </c>
      <c r="L90" s="62" t="s">
        <v>1356</v>
      </c>
      <c r="M90" s="63">
        <v>-4.5</v>
      </c>
      <c r="N90" s="64">
        <v>0</v>
      </c>
    </row>
    <row r="91" spans="1:14" ht="15">
      <c r="A91" s="61" t="s">
        <v>1141</v>
      </c>
      <c r="B91" s="62">
        <v>-2283.1</v>
      </c>
      <c r="C91" s="60" t="s">
        <v>1209</v>
      </c>
      <c r="D91" s="62" t="s">
        <v>1357</v>
      </c>
      <c r="E91" s="63">
        <v>-3.7</v>
      </c>
      <c r="F91" s="64">
        <v>0</v>
      </c>
      <c r="G91" s="60"/>
      <c r="H91" s="60"/>
      <c r="I91" s="487" t="str">
        <f t="shared" si="1"/>
        <v>$60,000 to $80,000</v>
      </c>
      <c r="J91" s="62">
        <v>-1540.4</v>
      </c>
      <c r="K91" s="60" t="s">
        <v>1209</v>
      </c>
      <c r="L91" s="62" t="s">
        <v>1358</v>
      </c>
      <c r="M91" s="63">
        <v>-3.4</v>
      </c>
      <c r="N91" s="64">
        <v>0</v>
      </c>
    </row>
    <row r="92" spans="1:14" ht="15">
      <c r="A92" s="61" t="s">
        <v>1143</v>
      </c>
      <c r="B92" s="62">
        <v>1433.1</v>
      </c>
      <c r="C92" s="60" t="s">
        <v>1229</v>
      </c>
      <c r="D92" s="62" t="s">
        <v>1359</v>
      </c>
      <c r="E92" s="63">
        <v>2.1</v>
      </c>
      <c r="F92" s="64">
        <v>0.03</v>
      </c>
      <c r="G92" s="60"/>
      <c r="H92" s="60"/>
      <c r="I92" s="487" t="str">
        <f t="shared" si="1"/>
        <v>$100,000 to $120,000</v>
      </c>
      <c r="J92" s="62">
        <v>1379.9</v>
      </c>
      <c r="K92" s="60" t="s">
        <v>1209</v>
      </c>
      <c r="L92" s="62" t="s">
        <v>1360</v>
      </c>
      <c r="M92" s="63">
        <v>2.7</v>
      </c>
      <c r="N92" s="64">
        <v>0.01</v>
      </c>
    </row>
    <row r="93" spans="1:14" ht="15">
      <c r="A93" s="61" t="s">
        <v>1144</v>
      </c>
      <c r="B93" s="62">
        <v>3734.5</v>
      </c>
      <c r="C93" s="60" t="s">
        <v>1209</v>
      </c>
      <c r="D93" s="62" t="s">
        <v>1361</v>
      </c>
      <c r="E93" s="63">
        <v>5.0999999999999996</v>
      </c>
      <c r="F93" s="64">
        <v>0</v>
      </c>
      <c r="G93" s="60"/>
      <c r="H93" s="60"/>
      <c r="I93" s="487" t="str">
        <f t="shared" si="1"/>
        <v>$120,000 to $140,000</v>
      </c>
      <c r="J93" s="62">
        <v>3704.8</v>
      </c>
      <c r="K93" s="60" t="s">
        <v>1209</v>
      </c>
      <c r="L93" s="62" t="s">
        <v>1362</v>
      </c>
      <c r="M93" s="63">
        <v>6.8</v>
      </c>
      <c r="N93" s="64">
        <v>0</v>
      </c>
    </row>
    <row r="94" spans="1:14" ht="15">
      <c r="A94" s="61" t="s">
        <v>1145</v>
      </c>
      <c r="B94" s="62">
        <v>4868.3999999999996</v>
      </c>
      <c r="C94" s="60" t="s">
        <v>1209</v>
      </c>
      <c r="D94" s="62" t="s">
        <v>1363</v>
      </c>
      <c r="E94" s="63">
        <v>6.1</v>
      </c>
      <c r="F94" s="64">
        <v>0</v>
      </c>
      <c r="G94" s="60"/>
      <c r="H94" s="60"/>
      <c r="I94" s="487" t="str">
        <f t="shared" si="1"/>
        <v>$140,000 to $160,000</v>
      </c>
      <c r="J94" s="62">
        <v>4328.5</v>
      </c>
      <c r="K94" s="60" t="s">
        <v>1209</v>
      </c>
      <c r="L94" s="62" t="s">
        <v>1364</v>
      </c>
      <c r="M94" s="63">
        <v>7.2</v>
      </c>
      <c r="N94" s="64">
        <v>0</v>
      </c>
    </row>
    <row r="95" spans="1:14" ht="15">
      <c r="A95" s="61" t="s">
        <v>1146</v>
      </c>
      <c r="B95" s="62">
        <v>6091.6</v>
      </c>
      <c r="C95" s="60" t="s">
        <v>1209</v>
      </c>
      <c r="D95" s="62" t="s">
        <v>1365</v>
      </c>
      <c r="E95" s="63">
        <v>8.1999999999999993</v>
      </c>
      <c r="F95" s="64">
        <v>0</v>
      </c>
      <c r="G95" s="60"/>
      <c r="H95" s="60"/>
      <c r="I95" s="487" t="str">
        <f t="shared" si="1"/>
        <v>$160,000 to $200,000</v>
      </c>
      <c r="J95" s="62">
        <v>5328.3</v>
      </c>
      <c r="K95" s="60" t="s">
        <v>1209</v>
      </c>
      <c r="L95" s="62" t="s">
        <v>1366</v>
      </c>
      <c r="M95" s="63">
        <v>9.5</v>
      </c>
      <c r="N95" s="64">
        <v>0</v>
      </c>
    </row>
    <row r="96" spans="1:14" ht="15">
      <c r="A96" s="61" t="s">
        <v>1147</v>
      </c>
      <c r="B96" s="62">
        <v>8829.1</v>
      </c>
      <c r="C96" s="60" t="s">
        <v>1209</v>
      </c>
      <c r="D96" s="62" t="s">
        <v>1367</v>
      </c>
      <c r="E96" s="63">
        <v>10.6</v>
      </c>
      <c r="F96" s="64">
        <v>0</v>
      </c>
      <c r="G96" s="60"/>
      <c r="H96" s="60"/>
      <c r="I96" s="487" t="str">
        <f t="shared" si="1"/>
        <v>$200,000 to $250,000</v>
      </c>
      <c r="J96" s="62">
        <v>8115.9</v>
      </c>
      <c r="K96" s="60" t="s">
        <v>1209</v>
      </c>
      <c r="L96" s="62" t="s">
        <v>1368</v>
      </c>
      <c r="M96" s="63">
        <v>13</v>
      </c>
      <c r="N96" s="64">
        <v>0</v>
      </c>
    </row>
    <row r="97" spans="1:14" ht="15">
      <c r="A97" s="61" t="s">
        <v>1148</v>
      </c>
      <c r="B97" s="62">
        <v>15141</v>
      </c>
      <c r="C97" s="60" t="s">
        <v>1209</v>
      </c>
      <c r="D97" s="62" t="s">
        <v>1369</v>
      </c>
      <c r="E97" s="63">
        <v>12</v>
      </c>
      <c r="F97" s="64">
        <v>0</v>
      </c>
      <c r="G97" s="60"/>
      <c r="H97" s="60"/>
      <c r="I97" s="487" t="str">
        <f t="shared" si="1"/>
        <v>$250,000 to $300,000</v>
      </c>
      <c r="J97" s="62">
        <v>8908.5</v>
      </c>
      <c r="K97" s="60" t="s">
        <v>1209</v>
      </c>
      <c r="L97" s="62" t="s">
        <v>1370</v>
      </c>
      <c r="M97" s="63">
        <v>9.5</v>
      </c>
      <c r="N97" s="64">
        <v>0</v>
      </c>
    </row>
    <row r="98" spans="1:14" ht="15">
      <c r="A98" s="61" t="s">
        <v>1149</v>
      </c>
      <c r="B98" s="62">
        <v>14128.8</v>
      </c>
      <c r="C98" s="60" t="s">
        <v>1209</v>
      </c>
      <c r="D98" s="62" t="s">
        <v>1371</v>
      </c>
      <c r="E98" s="63">
        <v>13.4</v>
      </c>
      <c r="F98" s="64">
        <v>0</v>
      </c>
      <c r="G98" s="60"/>
      <c r="H98" s="60"/>
      <c r="I98" s="487" t="str">
        <f t="shared" si="1"/>
        <v>$300,000 to $500,000</v>
      </c>
      <c r="J98" s="62">
        <v>11031.3</v>
      </c>
      <c r="K98" s="60" t="s">
        <v>1209</v>
      </c>
      <c r="L98" s="62" t="s">
        <v>1372</v>
      </c>
      <c r="M98" s="63">
        <v>14</v>
      </c>
      <c r="N98" s="64">
        <v>0</v>
      </c>
    </row>
    <row r="99" spans="1:14" ht="15">
      <c r="A99" s="61"/>
      <c r="B99" s="62"/>
      <c r="C99" s="60"/>
      <c r="D99" s="62"/>
      <c r="E99" s="63"/>
      <c r="F99" s="64"/>
      <c r="G99" s="60"/>
      <c r="H99" s="60"/>
      <c r="I99" s="487"/>
      <c r="J99" s="62"/>
      <c r="K99" s="60"/>
      <c r="L99" s="62"/>
      <c r="M99" s="63"/>
      <c r="N99" s="64"/>
    </row>
    <row r="100" spans="1:14" ht="15">
      <c r="A100" s="61" t="s">
        <v>1373</v>
      </c>
      <c r="B100" s="62"/>
      <c r="C100" s="60"/>
      <c r="D100" s="62"/>
      <c r="E100" s="63"/>
      <c r="F100" s="64"/>
      <c r="G100" s="60"/>
      <c r="H100" s="60"/>
      <c r="I100" s="487" t="str">
        <f t="shared" si="1"/>
        <v>Net Wealth Decile</v>
      </c>
      <c r="J100" s="62"/>
      <c r="K100" s="60"/>
      <c r="L100" s="62"/>
      <c r="M100" s="63"/>
      <c r="N100" s="64"/>
    </row>
    <row r="101" spans="1:14" ht="15">
      <c r="A101" s="61" t="s">
        <v>1374</v>
      </c>
      <c r="B101" s="62"/>
      <c r="C101" s="60"/>
      <c r="D101" s="62"/>
      <c r="E101" s="63"/>
      <c r="F101" s="64"/>
      <c r="G101" s="60"/>
      <c r="H101" s="60"/>
      <c r="I101" s="487" t="str">
        <f t="shared" si="1"/>
        <v>[REF: Decile 5]</v>
      </c>
      <c r="J101" s="62"/>
      <c r="K101" s="60"/>
      <c r="L101" s="62"/>
      <c r="M101" s="63"/>
      <c r="N101" s="64"/>
    </row>
    <row r="102" spans="1:14" ht="15">
      <c r="A102" s="61">
        <v>1</v>
      </c>
      <c r="B102" s="62">
        <v>-3828.6</v>
      </c>
      <c r="C102" s="60" t="s">
        <v>1209</v>
      </c>
      <c r="D102" s="62" t="s">
        <v>1375</v>
      </c>
      <c r="E102" s="63">
        <v>-4.7</v>
      </c>
      <c r="F102" s="64">
        <v>0</v>
      </c>
      <c r="G102" s="60"/>
      <c r="H102" s="60"/>
      <c r="I102" s="487">
        <f t="shared" si="1"/>
        <v>1</v>
      </c>
      <c r="J102" s="62">
        <v>-1744.8</v>
      </c>
      <c r="K102" s="60" t="s">
        <v>1209</v>
      </c>
      <c r="L102" s="62" t="s">
        <v>1376</v>
      </c>
      <c r="M102" s="63">
        <v>-2.9</v>
      </c>
      <c r="N102" s="64">
        <v>0</v>
      </c>
    </row>
    <row r="103" spans="1:14" ht="15">
      <c r="A103" s="61">
        <v>2</v>
      </c>
      <c r="B103" s="62">
        <v>-2059.6</v>
      </c>
      <c r="C103" s="60" t="s">
        <v>1209</v>
      </c>
      <c r="D103" s="62" t="s">
        <v>1377</v>
      </c>
      <c r="E103" s="63">
        <v>-2.7</v>
      </c>
      <c r="F103" s="64">
        <v>0.01</v>
      </c>
      <c r="G103" s="60"/>
      <c r="H103" s="60"/>
      <c r="I103" s="487">
        <f t="shared" si="1"/>
        <v>2</v>
      </c>
      <c r="J103" s="62">
        <v>-1124.9000000000001</v>
      </c>
      <c r="K103" s="60" t="s">
        <v>1229</v>
      </c>
      <c r="L103" s="62" t="s">
        <v>1378</v>
      </c>
      <c r="M103" s="63">
        <v>-2</v>
      </c>
      <c r="N103" s="64">
        <v>0.05</v>
      </c>
    </row>
    <row r="104" spans="1:14" ht="15">
      <c r="A104" s="61">
        <v>3</v>
      </c>
      <c r="B104" s="62">
        <v>-1887</v>
      </c>
      <c r="C104" s="60" t="s">
        <v>1209</v>
      </c>
      <c r="D104" s="62" t="s">
        <v>1379</v>
      </c>
      <c r="E104" s="63">
        <v>-2.8</v>
      </c>
      <c r="F104" s="64">
        <v>0</v>
      </c>
      <c r="G104" s="60"/>
      <c r="H104" s="60"/>
      <c r="I104" s="487">
        <f t="shared" si="1"/>
        <v>3</v>
      </c>
      <c r="J104" s="62">
        <v>-1037.9000000000001</v>
      </c>
      <c r="K104" s="60" t="s">
        <v>1229</v>
      </c>
      <c r="L104" s="62" t="s">
        <v>1380</v>
      </c>
      <c r="M104" s="63">
        <v>-2.1</v>
      </c>
      <c r="N104" s="64">
        <v>0.04</v>
      </c>
    </row>
    <row r="105" spans="1:14" ht="15">
      <c r="A105" s="61">
        <v>4</v>
      </c>
      <c r="B105" s="62">
        <v>-1378.5</v>
      </c>
      <c r="C105" s="60" t="s">
        <v>1229</v>
      </c>
      <c r="D105" s="62" t="s">
        <v>1381</v>
      </c>
      <c r="E105" s="63">
        <v>-2.2000000000000002</v>
      </c>
      <c r="F105" s="64">
        <v>0.02</v>
      </c>
      <c r="G105" s="60"/>
      <c r="H105" s="60"/>
      <c r="I105" s="487">
        <f t="shared" si="1"/>
        <v>4</v>
      </c>
      <c r="J105" s="62">
        <v>-694</v>
      </c>
      <c r="K105" s="60" t="s">
        <v>76</v>
      </c>
      <c r="L105" s="62" t="s">
        <v>1382</v>
      </c>
      <c r="M105" s="63">
        <v>-1.5</v>
      </c>
      <c r="N105" s="64">
        <v>0.13</v>
      </c>
    </row>
    <row r="106" spans="1:14" ht="15">
      <c r="A106" s="61">
        <v>6</v>
      </c>
      <c r="B106" s="62">
        <v>407.8</v>
      </c>
      <c r="C106" s="60" t="s">
        <v>76</v>
      </c>
      <c r="D106" s="62" t="s">
        <v>1383</v>
      </c>
      <c r="E106" s="63">
        <v>0.7</v>
      </c>
      <c r="F106" s="64">
        <v>0.5</v>
      </c>
      <c r="G106" s="60"/>
      <c r="H106" s="60"/>
      <c r="I106" s="487">
        <f t="shared" si="1"/>
        <v>6</v>
      </c>
      <c r="J106" s="62">
        <v>-91.6</v>
      </c>
      <c r="K106" s="60" t="s">
        <v>76</v>
      </c>
      <c r="L106" s="62" t="s">
        <v>1384</v>
      </c>
      <c r="M106" s="63">
        <v>-0.2</v>
      </c>
      <c r="N106" s="64">
        <v>0.84</v>
      </c>
    </row>
    <row r="107" spans="1:14" ht="15">
      <c r="A107" s="61">
        <v>7</v>
      </c>
      <c r="B107" s="62">
        <v>410.1</v>
      </c>
      <c r="C107" s="60" t="s">
        <v>76</v>
      </c>
      <c r="D107" s="62" t="s">
        <v>1385</v>
      </c>
      <c r="E107" s="63">
        <v>0.7</v>
      </c>
      <c r="F107" s="64">
        <v>0.5</v>
      </c>
      <c r="G107" s="60"/>
      <c r="H107" s="60"/>
      <c r="I107" s="487">
        <f t="shared" si="1"/>
        <v>7</v>
      </c>
      <c r="J107" s="62">
        <v>116.5</v>
      </c>
      <c r="K107" s="60" t="s">
        <v>76</v>
      </c>
      <c r="L107" s="62" t="s">
        <v>1386</v>
      </c>
      <c r="M107" s="63">
        <v>0.3</v>
      </c>
      <c r="N107" s="64">
        <v>0.8</v>
      </c>
    </row>
    <row r="108" spans="1:14" ht="15">
      <c r="A108" s="61">
        <v>8</v>
      </c>
      <c r="B108" s="62">
        <v>1929.1</v>
      </c>
      <c r="C108" s="60" t="s">
        <v>1209</v>
      </c>
      <c r="D108" s="62" t="s">
        <v>1387</v>
      </c>
      <c r="E108" s="63">
        <v>3.1</v>
      </c>
      <c r="F108" s="64">
        <v>0</v>
      </c>
      <c r="G108" s="60"/>
      <c r="H108" s="60"/>
      <c r="I108" s="487">
        <f t="shared" si="1"/>
        <v>8</v>
      </c>
      <c r="J108" s="62">
        <v>435.9</v>
      </c>
      <c r="K108" s="60" t="s">
        <v>76</v>
      </c>
      <c r="L108" s="62" t="s">
        <v>1388</v>
      </c>
      <c r="M108" s="63">
        <v>0.9</v>
      </c>
      <c r="N108" s="64">
        <v>0.35</v>
      </c>
    </row>
    <row r="109" spans="1:14" ht="15">
      <c r="A109" s="61">
        <v>9</v>
      </c>
      <c r="B109" s="62">
        <v>2512.6999999999998</v>
      </c>
      <c r="C109" s="60" t="s">
        <v>1209</v>
      </c>
      <c r="D109" s="62" t="s">
        <v>1389</v>
      </c>
      <c r="E109" s="63">
        <v>3.9</v>
      </c>
      <c r="F109" s="64">
        <v>0</v>
      </c>
      <c r="G109" s="60"/>
      <c r="H109" s="60"/>
      <c r="I109" s="487">
        <f t="shared" si="1"/>
        <v>9</v>
      </c>
      <c r="J109" s="62">
        <v>1131.3</v>
      </c>
      <c r="K109" s="60" t="s">
        <v>1229</v>
      </c>
      <c r="L109" s="62" t="s">
        <v>1390</v>
      </c>
      <c r="M109" s="63">
        <v>2.4</v>
      </c>
      <c r="N109" s="64">
        <v>0.02</v>
      </c>
    </row>
    <row r="110" spans="1:14" ht="15">
      <c r="A110" s="61">
        <v>10</v>
      </c>
      <c r="B110" s="62">
        <v>3033.5</v>
      </c>
      <c r="C110" s="60" t="s">
        <v>1209</v>
      </c>
      <c r="D110" s="62" t="s">
        <v>1391</v>
      </c>
      <c r="E110" s="63">
        <v>4.4000000000000004</v>
      </c>
      <c r="F110" s="64">
        <v>0</v>
      </c>
      <c r="G110" s="60"/>
      <c r="H110" s="60"/>
      <c r="I110" s="487">
        <f t="shared" si="1"/>
        <v>10</v>
      </c>
      <c r="J110" s="62">
        <v>502.5</v>
      </c>
      <c r="K110" s="60" t="s">
        <v>76</v>
      </c>
      <c r="L110" s="62" t="s">
        <v>1392</v>
      </c>
      <c r="M110" s="63">
        <v>1</v>
      </c>
      <c r="N110" s="64">
        <v>0.33</v>
      </c>
    </row>
    <row r="111" spans="1:14" ht="15">
      <c r="A111" s="61"/>
      <c r="B111" s="62"/>
      <c r="C111" s="60"/>
      <c r="D111" s="62"/>
      <c r="E111" s="63"/>
      <c r="F111" s="64"/>
      <c r="G111" s="60"/>
      <c r="H111" s="60"/>
      <c r="I111" s="487"/>
      <c r="J111" s="62"/>
      <c r="K111" s="60"/>
      <c r="L111" s="62"/>
      <c r="M111" s="63"/>
      <c r="N111" s="64"/>
    </row>
    <row r="112" spans="1:14" ht="15">
      <c r="A112" s="61" t="s">
        <v>1393</v>
      </c>
      <c r="B112" s="62"/>
      <c r="C112" s="60"/>
      <c r="D112" s="62"/>
      <c r="E112" s="63"/>
      <c r="F112" s="64"/>
      <c r="G112" s="60"/>
      <c r="H112" s="60"/>
      <c r="I112" s="487" t="str">
        <f t="shared" si="1"/>
        <v>Budget Pressure</v>
      </c>
      <c r="J112" s="62"/>
      <c r="K112" s="60"/>
      <c r="L112" s="62"/>
      <c r="M112" s="63"/>
      <c r="N112" s="64"/>
    </row>
    <row r="113" spans="1:14" ht="15">
      <c r="A113" s="61" t="s">
        <v>1394</v>
      </c>
      <c r="B113" s="62"/>
      <c r="C113" s="60"/>
      <c r="D113" s="62"/>
      <c r="E113" s="63"/>
      <c r="F113" s="64"/>
      <c r="G113" s="60"/>
      <c r="H113" s="60"/>
      <c r="I113" s="487" t="str">
        <f t="shared" si="1"/>
        <v>[REF: Usually able to save]</v>
      </c>
      <c r="J113" s="62"/>
      <c r="K113" s="60"/>
      <c r="L113" s="62"/>
      <c r="M113" s="63"/>
      <c r="N113" s="64"/>
    </row>
    <row r="114" spans="1:14" ht="15">
      <c r="A114" s="61" t="s">
        <v>1395</v>
      </c>
      <c r="B114" s="62">
        <v>671.4</v>
      </c>
      <c r="C114" s="60" t="s">
        <v>1229</v>
      </c>
      <c r="D114" s="62" t="s">
        <v>1396</v>
      </c>
      <c r="E114" s="63">
        <v>2.2000000000000002</v>
      </c>
      <c r="F114" s="64">
        <v>0.03</v>
      </c>
      <c r="G114" s="60"/>
      <c r="H114" s="60"/>
      <c r="I114" s="487" t="str">
        <f t="shared" si="1"/>
        <v>Usually breaks even</v>
      </c>
      <c r="J114" s="62">
        <v>-70.3</v>
      </c>
      <c r="K114" s="60" t="s">
        <v>76</v>
      </c>
      <c r="L114" s="62" t="s">
        <v>1397</v>
      </c>
      <c r="M114" s="63">
        <v>-0.3</v>
      </c>
      <c r="N114" s="64">
        <v>0.76</v>
      </c>
    </row>
    <row r="115" spans="1:14" ht="15">
      <c r="A115" s="61" t="s">
        <v>1398</v>
      </c>
      <c r="B115" s="62">
        <v>2103.6</v>
      </c>
      <c r="C115" s="60" t="s">
        <v>1209</v>
      </c>
      <c r="D115" s="62" t="s">
        <v>1358</v>
      </c>
      <c r="E115" s="63">
        <v>4.5999999999999996</v>
      </c>
      <c r="F115" s="64">
        <v>0</v>
      </c>
      <c r="G115" s="60"/>
      <c r="H115" s="60"/>
      <c r="I115" s="487" t="str">
        <f t="shared" si="1"/>
        <v>Usually spends more than they have</v>
      </c>
      <c r="J115" s="62">
        <v>323.3</v>
      </c>
      <c r="K115" s="60" t="s">
        <v>76</v>
      </c>
      <c r="L115" s="62" t="s">
        <v>1399</v>
      </c>
      <c r="M115" s="63">
        <v>0.9</v>
      </c>
      <c r="N115" s="64">
        <v>0.35</v>
      </c>
    </row>
    <row r="116" spans="1:14" ht="15">
      <c r="A116" s="61"/>
      <c r="B116" s="62"/>
      <c r="C116" s="60"/>
      <c r="D116" s="62"/>
      <c r="E116" s="63"/>
      <c r="F116" s="64"/>
      <c r="G116" s="60"/>
      <c r="H116" s="60"/>
      <c r="I116" s="487"/>
      <c r="J116" s="62"/>
      <c r="K116" s="60"/>
      <c r="L116" s="62"/>
      <c r="M116" s="63"/>
      <c r="N116" s="64"/>
    </row>
    <row r="117" spans="1:14" ht="15">
      <c r="A117" s="61" t="s">
        <v>1400</v>
      </c>
      <c r="B117" s="62"/>
      <c r="C117" s="60"/>
      <c r="D117" s="62"/>
      <c r="E117" s="63"/>
      <c r="F117" s="64"/>
      <c r="G117" s="60"/>
      <c r="H117" s="60"/>
      <c r="I117" s="487" t="str">
        <f t="shared" si="1"/>
        <v>Number of credit cards in the household</v>
      </c>
      <c r="J117" s="62"/>
      <c r="K117" s="60"/>
      <c r="L117" s="62"/>
      <c r="M117" s="63"/>
      <c r="N117" s="64"/>
    </row>
    <row r="118" spans="1:14" ht="15">
      <c r="A118" s="61" t="s">
        <v>1401</v>
      </c>
      <c r="B118" s="62"/>
      <c r="C118" s="60"/>
      <c r="D118" s="62"/>
      <c r="E118" s="63"/>
      <c r="F118" s="64"/>
      <c r="G118" s="60"/>
      <c r="H118" s="60"/>
      <c r="I118" s="487" t="str">
        <f t="shared" si="1"/>
        <v>[REF: no cards]</v>
      </c>
      <c r="J118" s="62"/>
      <c r="K118" s="60"/>
      <c r="L118" s="62"/>
      <c r="M118" s="63"/>
      <c r="N118" s="64"/>
    </row>
    <row r="119" spans="1:14" ht="15">
      <c r="A119" s="61">
        <v>1</v>
      </c>
      <c r="B119" s="62">
        <v>539.1</v>
      </c>
      <c r="C119" s="60" t="s">
        <v>76</v>
      </c>
      <c r="D119" s="62" t="s">
        <v>1402</v>
      </c>
      <c r="E119" s="63">
        <v>1.6</v>
      </c>
      <c r="F119" s="64">
        <v>0.12</v>
      </c>
      <c r="G119" s="60"/>
      <c r="H119" s="60"/>
      <c r="I119" s="487">
        <f t="shared" si="1"/>
        <v>1</v>
      </c>
      <c r="J119" s="62">
        <v>852.5</v>
      </c>
      <c r="K119" s="60" t="s">
        <v>1209</v>
      </c>
      <c r="L119" s="62" t="s">
        <v>1403</v>
      </c>
      <c r="M119" s="63">
        <v>3.3</v>
      </c>
      <c r="N119" s="64">
        <v>0</v>
      </c>
    </row>
    <row r="120" spans="1:14" ht="15">
      <c r="A120" s="61">
        <v>2</v>
      </c>
      <c r="B120" s="62">
        <v>1520.5</v>
      </c>
      <c r="C120" s="60" t="s">
        <v>1209</v>
      </c>
      <c r="D120" s="62" t="s">
        <v>1404</v>
      </c>
      <c r="E120" s="63">
        <v>3.4</v>
      </c>
      <c r="F120" s="64">
        <v>0</v>
      </c>
      <c r="G120" s="60"/>
      <c r="H120" s="60"/>
      <c r="I120" s="487">
        <f t="shared" si="1"/>
        <v>2</v>
      </c>
      <c r="J120" s="62">
        <v>2042</v>
      </c>
      <c r="K120" s="60" t="s">
        <v>1209</v>
      </c>
      <c r="L120" s="62" t="s">
        <v>1405</v>
      </c>
      <c r="M120" s="63">
        <v>6.1</v>
      </c>
      <c r="N120" s="64">
        <v>0</v>
      </c>
    </row>
    <row r="121" spans="1:14" ht="15">
      <c r="A121" s="61">
        <v>3</v>
      </c>
      <c r="B121" s="62">
        <v>4066.3</v>
      </c>
      <c r="C121" s="60" t="s">
        <v>1209</v>
      </c>
      <c r="D121" s="62" t="s">
        <v>1406</v>
      </c>
      <c r="E121" s="63">
        <v>6.1</v>
      </c>
      <c r="F121" s="64">
        <v>0</v>
      </c>
      <c r="G121" s="60"/>
      <c r="H121" s="60"/>
      <c r="I121" s="487">
        <f t="shared" si="1"/>
        <v>3</v>
      </c>
      <c r="J121" s="62">
        <v>3058.9</v>
      </c>
      <c r="K121" s="60" t="s">
        <v>1209</v>
      </c>
      <c r="L121" s="62" t="s">
        <v>1407</v>
      </c>
      <c r="M121" s="63">
        <v>6.1</v>
      </c>
      <c r="N121" s="64">
        <v>0</v>
      </c>
    </row>
    <row r="122" spans="1:14" ht="15">
      <c r="A122" s="61" t="s">
        <v>1408</v>
      </c>
      <c r="B122" s="62">
        <v>4501</v>
      </c>
      <c r="C122" s="60" t="s">
        <v>1209</v>
      </c>
      <c r="D122" s="62" t="s">
        <v>1409</v>
      </c>
      <c r="E122" s="63">
        <v>5.3</v>
      </c>
      <c r="F122" s="64">
        <v>0</v>
      </c>
      <c r="G122" s="60"/>
      <c r="H122" s="60"/>
      <c r="I122" s="487" t="str">
        <f t="shared" si="1"/>
        <v>4 or more</v>
      </c>
      <c r="J122" s="62">
        <v>4798.1000000000004</v>
      </c>
      <c r="K122" s="60" t="s">
        <v>1209</v>
      </c>
      <c r="L122" s="62" t="s">
        <v>1410</v>
      </c>
      <c r="M122" s="63">
        <v>7.6</v>
      </c>
      <c r="N122" s="64">
        <v>0</v>
      </c>
    </row>
    <row r="123" spans="1:14" ht="15">
      <c r="A123" s="61"/>
      <c r="B123" s="62"/>
      <c r="C123" s="60"/>
      <c r="D123" s="62"/>
      <c r="E123" s="63"/>
      <c r="F123" s="64"/>
      <c r="G123" s="60"/>
      <c r="H123" s="60"/>
      <c r="I123" s="487"/>
      <c r="J123" s="62"/>
      <c r="K123" s="60"/>
      <c r="L123" s="62"/>
      <c r="M123" s="63"/>
      <c r="N123" s="64"/>
    </row>
    <row r="124" spans="1:14" ht="15">
      <c r="A124" s="61" t="s">
        <v>1411</v>
      </c>
      <c r="B124" s="430">
        <v>8108</v>
      </c>
      <c r="C124" s="60"/>
      <c r="D124" s="62"/>
      <c r="E124" s="63"/>
      <c r="F124" s="64"/>
      <c r="G124" s="60"/>
      <c r="H124" s="60"/>
      <c r="I124" s="487" t="str">
        <f t="shared" ref="I124:I125" si="2">A124</f>
        <v>Number of observations (households)</v>
      </c>
      <c r="J124" s="430">
        <v>8108</v>
      </c>
      <c r="K124" s="60"/>
      <c r="L124" s="62"/>
      <c r="M124" s="63"/>
      <c r="N124" s="64"/>
    </row>
    <row r="125" spans="1:14" ht="15">
      <c r="A125" s="61" t="s">
        <v>1412</v>
      </c>
      <c r="B125" s="65">
        <v>0.29409999999999997</v>
      </c>
      <c r="C125" s="60"/>
      <c r="D125" s="62"/>
      <c r="E125" s="63"/>
      <c r="F125" s="64"/>
      <c r="G125" s="60"/>
      <c r="H125" s="60"/>
      <c r="I125" s="487" t="str">
        <f t="shared" si="2"/>
        <v>Pseudo R-square</v>
      </c>
      <c r="J125" s="60">
        <v>0.16500000000000001</v>
      </c>
      <c r="K125" s="60"/>
      <c r="L125" s="60"/>
      <c r="M125" s="60"/>
      <c r="N125" s="60"/>
    </row>
    <row r="126" spans="1:14" ht="15.75" thickBot="1">
      <c r="A126" s="61"/>
      <c r="B126" s="60"/>
      <c r="C126" s="66"/>
      <c r="D126" s="60"/>
      <c r="E126" s="60"/>
      <c r="F126" s="60"/>
      <c r="G126" s="60"/>
      <c r="H126" s="60"/>
      <c r="I126" s="60"/>
      <c r="J126" s="60"/>
      <c r="K126" s="60"/>
      <c r="L126" s="60"/>
      <c r="M126" s="60"/>
      <c r="N126" s="60"/>
    </row>
    <row r="127" spans="1:14" ht="15.75" thickBot="1">
      <c r="A127" s="936" t="s">
        <v>1413</v>
      </c>
      <c r="B127" s="936"/>
      <c r="C127" s="936"/>
      <c r="D127" s="936"/>
      <c r="E127" s="936"/>
      <c r="F127" s="936"/>
      <c r="G127" s="60"/>
      <c r="H127" s="60"/>
      <c r="I127" s="936" t="s">
        <v>1413</v>
      </c>
      <c r="J127" s="936"/>
      <c r="K127" s="936"/>
      <c r="L127" s="936"/>
      <c r="M127" s="936"/>
      <c r="N127" s="936"/>
    </row>
    <row r="128" spans="1:14" ht="15">
      <c r="A128" s="61"/>
      <c r="B128" s="60"/>
      <c r="C128" s="66"/>
      <c r="D128" s="60"/>
      <c r="E128" s="60"/>
      <c r="F128" s="60"/>
      <c r="G128" s="60"/>
      <c r="H128" s="60"/>
      <c r="I128" s="60"/>
      <c r="J128" s="60"/>
      <c r="K128" s="60"/>
      <c r="L128" s="60"/>
      <c r="M128" s="60"/>
      <c r="N128" s="60"/>
    </row>
    <row r="129" spans="1:14" ht="15">
      <c r="A129" s="61"/>
      <c r="B129" s="60"/>
      <c r="C129" s="66"/>
      <c r="D129" s="60"/>
      <c r="E129" s="60"/>
      <c r="F129" s="60"/>
      <c r="G129" s="60"/>
      <c r="H129" s="60"/>
      <c r="I129" s="60"/>
      <c r="J129" s="60"/>
      <c r="K129" s="60"/>
      <c r="L129" s="60"/>
      <c r="M129" s="60"/>
      <c r="N129" s="60"/>
    </row>
    <row r="130" spans="1:14" ht="15">
      <c r="A130" s="61"/>
      <c r="B130" s="60"/>
      <c r="C130" s="66"/>
      <c r="D130" s="60"/>
      <c r="E130" s="60"/>
      <c r="F130" s="60"/>
      <c r="G130" s="60"/>
      <c r="H130" s="60"/>
      <c r="I130" s="60"/>
      <c r="J130" s="60"/>
      <c r="K130" s="60"/>
      <c r="L130" s="60"/>
      <c r="M130" s="60"/>
      <c r="N130" s="60"/>
    </row>
  </sheetData>
  <sheetProtection algorithmName="SHA-512" hashValue="rDxEuwcidR2lrxcVA7BJ7hhk0Z2TgrOKx9I24XXe2Qg8X5d3koZ/yD4W99CuJZY1KWjIGHTa4OJ8Dh6tFALNsg==" saltValue="H2M/ZlozJWYh1q1MRWFoYQ==" spinCount="100000" sheet="1" objects="1" scenarios="1"/>
  <mergeCells count="28">
    <mergeCell ref="A1:F1"/>
    <mergeCell ref="I1:N1"/>
    <mergeCell ref="A2:D2"/>
    <mergeCell ref="I2:L2"/>
    <mergeCell ref="B3:E3"/>
    <mergeCell ref="J3:M3"/>
    <mergeCell ref="B4:D4"/>
    <mergeCell ref="J4:L4"/>
    <mergeCell ref="B5:D5"/>
    <mergeCell ref="J5:L5"/>
    <mergeCell ref="B6:D6"/>
    <mergeCell ref="J6:L6"/>
    <mergeCell ref="B7:F7"/>
    <mergeCell ref="J7:N7"/>
    <mergeCell ref="B8:F8"/>
    <mergeCell ref="J8:N8"/>
    <mergeCell ref="B9:F9"/>
    <mergeCell ref="J9:N9"/>
    <mergeCell ref="A127:F127"/>
    <mergeCell ref="I127:N127"/>
    <mergeCell ref="B13:D13"/>
    <mergeCell ref="J13:L13"/>
    <mergeCell ref="B10:F10"/>
    <mergeCell ref="J10:N10"/>
    <mergeCell ref="B11:F11"/>
    <mergeCell ref="J11:N11"/>
    <mergeCell ref="B12:F12"/>
    <mergeCell ref="J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U446"/>
  <sheetViews>
    <sheetView topLeftCell="A19" workbookViewId="0">
      <selection activeCell="D138" sqref="D138"/>
    </sheetView>
  </sheetViews>
  <sheetFormatPr defaultColWidth="9.140625" defaultRowHeight="12.75" customHeight="1"/>
  <cols>
    <col min="1" max="1" width="23.5703125" style="37" customWidth="1"/>
    <col min="2" max="2" width="21.140625" style="37" customWidth="1"/>
    <col min="3" max="3" width="11.28515625" style="35" customWidth="1"/>
    <col min="4" max="4" width="12.140625" style="35" customWidth="1"/>
    <col min="5" max="5" width="11.28515625" style="35" bestFit="1" customWidth="1"/>
    <col min="6" max="6" width="12.7109375" style="35" bestFit="1" customWidth="1"/>
    <col min="7" max="7" width="12" style="35" customWidth="1"/>
    <col min="8" max="8" width="11.42578125" style="35" bestFit="1" customWidth="1"/>
    <col min="9" max="10" width="10" style="431" bestFit="1" customWidth="1"/>
    <col min="11" max="12" width="11.140625" style="431" bestFit="1" customWidth="1"/>
    <col min="13" max="13" width="11.28515625" style="431" bestFit="1" customWidth="1"/>
    <col min="14" max="17" width="9.140625" style="35"/>
    <col min="18" max="18" width="43.28515625" style="35" customWidth="1"/>
    <col min="19" max="16384" width="9.140625" style="35"/>
  </cols>
  <sheetData>
    <row r="1" spans="1:6" ht="12.75" customHeight="1">
      <c r="A1" s="34" t="s">
        <v>141</v>
      </c>
      <c r="B1" s="34"/>
    </row>
    <row r="2" spans="1:6" ht="12.75" customHeight="1">
      <c r="A2" s="18"/>
      <c r="B2" s="18"/>
      <c r="C2" s="19"/>
      <c r="D2" s="19"/>
      <c r="E2" s="19"/>
      <c r="F2" s="19"/>
    </row>
    <row r="3" spans="1:6" ht="12.75" customHeight="1">
      <c r="A3" s="20" t="s">
        <v>142</v>
      </c>
      <c r="B3" s="20"/>
      <c r="D3" s="27" t="s">
        <v>143</v>
      </c>
      <c r="F3" s="27" t="s">
        <v>135</v>
      </c>
    </row>
    <row r="4" spans="1:6" ht="12.75" customHeight="1">
      <c r="A4" s="489" t="e">
        <f>+Tables!#REF!</f>
        <v>#REF!</v>
      </c>
      <c r="B4" s="18"/>
      <c r="D4" s="144" t="str">
        <f>+Tables!D4</f>
        <v>Namita Bansal</v>
      </c>
      <c r="F4" s="144" t="e">
        <f>+Tables!#REF!</f>
        <v>#REF!</v>
      </c>
    </row>
    <row r="5" spans="1:6" ht="12.75" customHeight="1">
      <c r="A5" s="489" t="str">
        <f>+Tables!A4</f>
        <v>Jon Jackson</v>
      </c>
      <c r="B5" s="21"/>
      <c r="D5" s="144" t="str">
        <f>+Tables!D5</f>
        <v>Brooke Newlove</v>
      </c>
      <c r="F5" s="144" t="str">
        <f>+Tables!F4</f>
        <v>Mike Currie</v>
      </c>
    </row>
    <row r="6" spans="1:6" ht="12.75" customHeight="1">
      <c r="A6" s="489" t="e">
        <f>+Tables!#REF!</f>
        <v>#REF!</v>
      </c>
      <c r="B6" s="21"/>
      <c r="D6" s="144" t="e">
        <f>+Tables!#REF!</f>
        <v>#REF!</v>
      </c>
      <c r="F6" s="144" t="str">
        <f>+Tables!F5</f>
        <v>Taryn Pontifex</v>
      </c>
    </row>
    <row r="7" spans="1:6" ht="12.75" customHeight="1">
      <c r="A7" s="489" t="str">
        <f>+Tables!A5</f>
        <v>Marcel Coopman</v>
      </c>
      <c r="B7" s="21"/>
      <c r="D7" s="144" t="e">
        <f>+Tables!#REF!</f>
        <v>#REF!</v>
      </c>
      <c r="F7" s="144" t="str">
        <f>+Tables!F6</f>
        <v>Teri Hawkins</v>
      </c>
    </row>
    <row r="8" spans="1:6" ht="12.75" customHeight="1">
      <c r="A8" s="489" t="str">
        <f>+Tables!A6</f>
        <v>Mike Currie</v>
      </c>
      <c r="B8" s="21"/>
      <c r="D8" s="144" t="str">
        <f>+Tables!D6</f>
        <v>Julie O'Regan</v>
      </c>
      <c r="F8" s="682"/>
    </row>
    <row r="9" spans="1:6" ht="12.75" customHeight="1">
      <c r="A9" s="489" t="str">
        <f>+Tables!A7</f>
        <v>Teri Hawkins</v>
      </c>
      <c r="B9" s="21"/>
      <c r="D9" s="144" t="str">
        <f>+Tables!D7</f>
        <v>Sascha Jovanoski</v>
      </c>
      <c r="F9" s="19"/>
    </row>
    <row r="10" spans="1:6" ht="12.75" customHeight="1">
      <c r="A10" s="489" t="str">
        <f>+Tables!A8</f>
        <v>Taryn Pontifex</v>
      </c>
      <c r="B10" s="21"/>
      <c r="D10" s="144" t="str">
        <f>+Tables!D8</f>
        <v>Max Campbell</v>
      </c>
      <c r="F10" s="19"/>
    </row>
    <row r="11" spans="1:6" ht="12.75" customHeight="1">
      <c r="A11" s="21"/>
      <c r="B11" s="21"/>
      <c r="D11" s="144" t="str">
        <f>+Tables!D9</f>
        <v>Mariah Foy</v>
      </c>
      <c r="F11" s="22"/>
    </row>
    <row r="12" spans="1:6" ht="12.75" customHeight="1">
      <c r="A12" s="21"/>
      <c r="B12" s="21"/>
      <c r="D12" s="144" t="str">
        <f>+Tables!D10</f>
        <v>Scott Uren</v>
      </c>
      <c r="F12" s="22"/>
    </row>
    <row r="13" spans="1:6" ht="12.75" customHeight="1">
      <c r="A13" s="21"/>
      <c r="B13" s="21"/>
      <c r="D13" s="144">
        <f>+Tables!D13</f>
        <v>0</v>
      </c>
      <c r="F13" s="22"/>
    </row>
    <row r="14" spans="1:6" ht="12.75" customHeight="1">
      <c r="A14" s="21"/>
      <c r="B14" s="21"/>
      <c r="D14" s="682"/>
      <c r="F14" s="22"/>
    </row>
    <row r="15" spans="1:6" ht="12.75" customHeight="1">
      <c r="D15" s="682"/>
      <c r="F15" s="22"/>
    </row>
    <row r="16" spans="1:6" ht="12.75" customHeight="1">
      <c r="D16" s="682"/>
      <c r="F16" s="22"/>
    </row>
    <row r="17" spans="1:13" ht="12.75" customHeight="1">
      <c r="D17" s="682"/>
    </row>
    <row r="18" spans="1:13" ht="12.75" customHeight="1">
      <c r="A18" s="680" t="str">
        <f>+Tables!A18</f>
        <v>BOARD</v>
      </c>
      <c r="B18" s="683" t="str">
        <f>+Tables!B18</f>
        <v>BOARD</v>
      </c>
    </row>
    <row r="19" spans="1:13" ht="12.75" customHeight="1">
      <c r="A19" s="680" t="str">
        <f>+Tables!A19</f>
        <v>LA</v>
      </c>
      <c r="B19" s="683" t="str">
        <f>+Tables!B19</f>
        <v>Loan Assessor</v>
      </c>
    </row>
    <row r="20" spans="1:13" ht="12.75" customHeight="1">
      <c r="A20" s="680" t="str">
        <f>+Tables!A20</f>
        <v>SLA</v>
      </c>
      <c r="B20" s="684" t="str">
        <f>+Tables!B20</f>
        <v>Senior Loan Assessor</v>
      </c>
    </row>
    <row r="21" spans="1:13" ht="12.75" customHeight="1">
      <c r="A21" s="680" t="str">
        <f>+Tables!A21</f>
        <v>CAL</v>
      </c>
      <c r="B21" s="684" t="str">
        <f>+Tables!B21</f>
        <v>Credit Assessment Lead</v>
      </c>
    </row>
    <row r="22" spans="1:13" ht="12.75" customHeight="1">
      <c r="A22" s="680" t="str">
        <f>+Tables!A22</f>
        <v>SMC</v>
      </c>
      <c r="B22" s="684" t="str">
        <f>+Tables!B22</f>
        <v>SMC</v>
      </c>
    </row>
    <row r="23" spans="1:13" ht="12.75" customHeight="1">
      <c r="A23" s="680" t="str">
        <f>+Tables!A23</f>
        <v>COO</v>
      </c>
      <c r="B23" s="684" t="str">
        <f>+Tables!B23</f>
        <v>COO</v>
      </c>
    </row>
    <row r="24" spans="1:13" ht="12.75" customHeight="1">
      <c r="A24" s="680" t="str">
        <f>+Tables!A24</f>
        <v>CEO</v>
      </c>
      <c r="B24" s="684" t="str">
        <f>+Tables!B24</f>
        <v>CEO</v>
      </c>
    </row>
    <row r="25" spans="1:13" ht="12.75" customHeight="1">
      <c r="A25" s="680" t="str">
        <f>+Tables!A25</f>
        <v>BOARD</v>
      </c>
      <c r="B25" s="684" t="str">
        <f>+Tables!B25</f>
        <v>BOARD</v>
      </c>
    </row>
    <row r="27" spans="1:13" ht="12.75" customHeight="1">
      <c r="A27" s="18"/>
      <c r="B27" s="18"/>
      <c r="C27" s="35">
        <v>2</v>
      </c>
      <c r="D27" s="35">
        <v>3</v>
      </c>
      <c r="E27" s="35">
        <v>4</v>
      </c>
      <c r="F27" s="35">
        <v>5</v>
      </c>
      <c r="G27" s="35">
        <v>6</v>
      </c>
      <c r="H27" s="35">
        <v>7</v>
      </c>
      <c r="I27" s="431">
        <v>8</v>
      </c>
      <c r="J27" s="431">
        <v>9</v>
      </c>
      <c r="K27" s="431">
        <v>10</v>
      </c>
    </row>
    <row r="28" spans="1:13" ht="12.75" customHeight="1">
      <c r="A28" s="23" t="s">
        <v>149</v>
      </c>
      <c r="B28" s="23"/>
      <c r="C28" s="19" t="s">
        <v>144</v>
      </c>
      <c r="D28" s="35" t="s">
        <v>146</v>
      </c>
      <c r="E28" s="19" t="s">
        <v>311</v>
      </c>
      <c r="F28" s="35" t="s">
        <v>1454</v>
      </c>
      <c r="G28" s="19" t="s">
        <v>1455</v>
      </c>
      <c r="H28" s="19" t="s">
        <v>1457</v>
      </c>
      <c r="I28" s="367"/>
      <c r="J28" s="367"/>
    </row>
    <row r="30" spans="1:13" ht="12.75" customHeight="1">
      <c r="A30" s="41" t="s">
        <v>1460</v>
      </c>
      <c r="B30" s="25" t="s">
        <v>1461</v>
      </c>
      <c r="C30" s="136">
        <f t="shared" ref="C30:C61" si="0">VLOOKUP($B30,ProductDLA,C$27,FALSE)</f>
        <v>750000</v>
      </c>
      <c r="D30" s="136">
        <f t="shared" ref="D30:G93" si="1">VLOOKUP($B30,ProductDLA,D$27,FALSE)</f>
        <v>1000000</v>
      </c>
      <c r="E30" s="136">
        <f t="shared" si="1"/>
        <v>1500000</v>
      </c>
      <c r="F30" s="136">
        <f t="shared" si="1"/>
        <v>2000000</v>
      </c>
      <c r="G30" s="136">
        <f t="shared" ref="G30" si="2">VLOOKUP($B30,ProductDLA,G$27,FALSE)</f>
        <v>2500000</v>
      </c>
      <c r="H30" s="418">
        <v>3000000</v>
      </c>
      <c r="I30" s="691">
        <v>360</v>
      </c>
      <c r="K30" s="30">
        <v>0.8</v>
      </c>
      <c r="L30" s="700"/>
      <c r="M30" s="431" t="s">
        <v>330</v>
      </c>
    </row>
    <row r="31" spans="1:13" ht="12.75" customHeight="1">
      <c r="A31" s="41" t="s">
        <v>1462</v>
      </c>
      <c r="B31" s="25" t="s">
        <v>1463</v>
      </c>
      <c r="C31" s="136">
        <f t="shared" si="0"/>
        <v>750000</v>
      </c>
      <c r="D31" s="136">
        <f t="shared" si="1"/>
        <v>1000000</v>
      </c>
      <c r="E31" s="136">
        <f t="shared" si="1"/>
        <v>1500000</v>
      </c>
      <c r="F31" s="136">
        <f t="shared" si="1"/>
        <v>2000000</v>
      </c>
      <c r="G31" s="136">
        <f t="shared" si="1"/>
        <v>2500000</v>
      </c>
      <c r="H31" s="418">
        <f t="shared" ref="H31:H62" si="3">VLOOKUP($B31,ProductDLA,H$27,FALSE)</f>
        <v>3000000</v>
      </c>
      <c r="I31" s="691">
        <v>360</v>
      </c>
      <c r="K31" s="30">
        <v>0.8</v>
      </c>
      <c r="L31" s="700">
        <v>0.9</v>
      </c>
      <c r="M31" s="431" t="s">
        <v>330</v>
      </c>
    </row>
    <row r="32" spans="1:13" ht="12.75" customHeight="1">
      <c r="A32" s="41" t="s">
        <v>1464</v>
      </c>
      <c r="B32" s="25" t="s">
        <v>1465</v>
      </c>
      <c r="C32" s="136">
        <f t="shared" si="0"/>
        <v>750000</v>
      </c>
      <c r="D32" s="136">
        <f t="shared" si="1"/>
        <v>1000000</v>
      </c>
      <c r="E32" s="136">
        <f t="shared" si="1"/>
        <v>1500000</v>
      </c>
      <c r="F32" s="136">
        <f t="shared" si="1"/>
        <v>2000000</v>
      </c>
      <c r="G32" s="136">
        <f t="shared" si="1"/>
        <v>2500000</v>
      </c>
      <c r="H32" s="418">
        <f t="shared" si="3"/>
        <v>3000000</v>
      </c>
      <c r="I32" s="691">
        <v>360</v>
      </c>
      <c r="K32" s="30">
        <v>0.8</v>
      </c>
      <c r="L32" s="700">
        <v>0.95</v>
      </c>
      <c r="M32" s="431" t="s">
        <v>330</v>
      </c>
    </row>
    <row r="33" spans="1:13" ht="12.75" customHeight="1">
      <c r="A33" s="41" t="s">
        <v>1466</v>
      </c>
      <c r="B33" s="25" t="s">
        <v>1467</v>
      </c>
      <c r="C33" s="136">
        <f t="shared" si="0"/>
        <v>750000</v>
      </c>
      <c r="D33" s="136">
        <f t="shared" si="1"/>
        <v>1000000</v>
      </c>
      <c r="E33" s="136">
        <f t="shared" si="1"/>
        <v>1500000</v>
      </c>
      <c r="F33" s="136">
        <f t="shared" si="1"/>
        <v>2000000</v>
      </c>
      <c r="G33" s="136">
        <f t="shared" si="1"/>
        <v>2500000</v>
      </c>
      <c r="H33" s="418">
        <f t="shared" si="3"/>
        <v>3000000</v>
      </c>
      <c r="I33" s="691">
        <v>360</v>
      </c>
      <c r="K33" s="30">
        <v>0.8</v>
      </c>
      <c r="M33" s="431" t="s">
        <v>330</v>
      </c>
    </row>
    <row r="34" spans="1:13" ht="12.75" customHeight="1">
      <c r="A34" s="41" t="s">
        <v>1468</v>
      </c>
      <c r="B34" s="25" t="s">
        <v>1469</v>
      </c>
      <c r="C34" s="136">
        <f t="shared" si="0"/>
        <v>750000</v>
      </c>
      <c r="D34" s="136">
        <f t="shared" si="1"/>
        <v>1000000</v>
      </c>
      <c r="E34" s="136">
        <f t="shared" si="1"/>
        <v>1500000</v>
      </c>
      <c r="F34" s="136">
        <f t="shared" si="1"/>
        <v>2000000</v>
      </c>
      <c r="G34" s="136">
        <f t="shared" si="1"/>
        <v>2500000</v>
      </c>
      <c r="H34" s="418">
        <f t="shared" si="3"/>
        <v>3000000</v>
      </c>
      <c r="I34" s="691">
        <v>360</v>
      </c>
      <c r="K34" s="30">
        <v>0.8</v>
      </c>
      <c r="L34" s="700">
        <v>0.9</v>
      </c>
      <c r="M34" s="431" t="s">
        <v>330</v>
      </c>
    </row>
    <row r="35" spans="1:13" ht="12.75" customHeight="1">
      <c r="A35" s="41" t="s">
        <v>1470</v>
      </c>
      <c r="B35" s="25" t="s">
        <v>1471</v>
      </c>
      <c r="C35" s="136">
        <f t="shared" si="0"/>
        <v>750000</v>
      </c>
      <c r="D35" s="136">
        <f t="shared" si="1"/>
        <v>1000000</v>
      </c>
      <c r="E35" s="136">
        <f t="shared" si="1"/>
        <v>1500000</v>
      </c>
      <c r="F35" s="136">
        <f t="shared" si="1"/>
        <v>2000000</v>
      </c>
      <c r="G35" s="136">
        <f t="shared" si="1"/>
        <v>2500000</v>
      </c>
      <c r="H35" s="418">
        <f t="shared" si="3"/>
        <v>3000000</v>
      </c>
      <c r="I35" s="691">
        <v>360</v>
      </c>
      <c r="K35" s="30">
        <v>0.8</v>
      </c>
      <c r="L35" s="700">
        <v>0.95</v>
      </c>
      <c r="M35" s="431" t="s">
        <v>330</v>
      </c>
    </row>
    <row r="36" spans="1:13" ht="12.75" customHeight="1">
      <c r="A36" s="41" t="s">
        <v>1472</v>
      </c>
      <c r="B36" s="25" t="s">
        <v>1473</v>
      </c>
      <c r="C36" s="136">
        <f t="shared" si="0"/>
        <v>750000</v>
      </c>
      <c r="D36" s="136">
        <f t="shared" si="1"/>
        <v>1000000</v>
      </c>
      <c r="E36" s="136">
        <f t="shared" si="1"/>
        <v>1500000</v>
      </c>
      <c r="F36" s="136">
        <f t="shared" si="1"/>
        <v>2000000</v>
      </c>
      <c r="G36" s="136">
        <f t="shared" si="1"/>
        <v>2500000</v>
      </c>
      <c r="H36" s="418">
        <f t="shared" si="3"/>
        <v>3000000</v>
      </c>
      <c r="I36" s="691">
        <v>360</v>
      </c>
      <c r="K36" s="30">
        <v>0.8</v>
      </c>
      <c r="L36" s="700">
        <v>0.95</v>
      </c>
      <c r="M36" s="431" t="s">
        <v>330</v>
      </c>
    </row>
    <row r="37" spans="1:13" ht="12.75" customHeight="1">
      <c r="A37" s="41" t="s">
        <v>1474</v>
      </c>
      <c r="B37" s="25" t="s">
        <v>1475</v>
      </c>
      <c r="C37" s="136">
        <f t="shared" si="0"/>
        <v>750000</v>
      </c>
      <c r="D37" s="136">
        <f t="shared" si="1"/>
        <v>1000000</v>
      </c>
      <c r="E37" s="136">
        <f t="shared" si="1"/>
        <v>1500000</v>
      </c>
      <c r="F37" s="136">
        <f t="shared" si="1"/>
        <v>2000000</v>
      </c>
      <c r="G37" s="136">
        <f t="shared" si="1"/>
        <v>2500000</v>
      </c>
      <c r="H37" s="418">
        <f t="shared" si="3"/>
        <v>3000000</v>
      </c>
      <c r="I37" s="691">
        <v>360</v>
      </c>
      <c r="K37" s="30">
        <v>0.8</v>
      </c>
      <c r="L37" s="700">
        <v>0.9</v>
      </c>
      <c r="M37" s="431" t="s">
        <v>330</v>
      </c>
    </row>
    <row r="38" spans="1:13" ht="12.75" customHeight="1">
      <c r="A38" s="41" t="s">
        <v>1476</v>
      </c>
      <c r="B38" s="25" t="s">
        <v>1477</v>
      </c>
      <c r="C38" s="136">
        <f t="shared" si="0"/>
        <v>750000</v>
      </c>
      <c r="D38" s="136">
        <f t="shared" si="1"/>
        <v>1000000</v>
      </c>
      <c r="E38" s="136">
        <f t="shared" si="1"/>
        <v>1500000</v>
      </c>
      <c r="F38" s="136">
        <f t="shared" si="1"/>
        <v>2000000</v>
      </c>
      <c r="G38" s="136">
        <f t="shared" si="1"/>
        <v>2500000</v>
      </c>
      <c r="H38" s="418">
        <f t="shared" si="3"/>
        <v>3000000</v>
      </c>
      <c r="I38" s="691">
        <v>360</v>
      </c>
      <c r="K38" s="30">
        <v>0.8</v>
      </c>
      <c r="L38" s="700">
        <v>0.95</v>
      </c>
      <c r="M38" s="431" t="s">
        <v>330</v>
      </c>
    </row>
    <row r="39" spans="1:13" ht="12.75" customHeight="1">
      <c r="A39" s="41" t="s">
        <v>1478</v>
      </c>
      <c r="B39" s="25" t="s">
        <v>1479</v>
      </c>
      <c r="C39" s="136">
        <f t="shared" si="0"/>
        <v>750000</v>
      </c>
      <c r="D39" s="136">
        <f t="shared" si="1"/>
        <v>1000000</v>
      </c>
      <c r="E39" s="136">
        <f t="shared" si="1"/>
        <v>1500000</v>
      </c>
      <c r="F39" s="136">
        <f t="shared" si="1"/>
        <v>2000000</v>
      </c>
      <c r="G39" s="136">
        <f t="shared" si="1"/>
        <v>2500000</v>
      </c>
      <c r="H39" s="418">
        <f t="shared" si="3"/>
        <v>3000000</v>
      </c>
      <c r="I39" s="691">
        <v>360</v>
      </c>
      <c r="K39" s="30">
        <v>0.8</v>
      </c>
      <c r="L39" s="700">
        <v>0.95</v>
      </c>
      <c r="M39" s="431" t="s">
        <v>330</v>
      </c>
    </row>
    <row r="40" spans="1:13" ht="12.75" customHeight="1">
      <c r="A40" s="41" t="s">
        <v>1480</v>
      </c>
      <c r="B40" s="25" t="s">
        <v>1481</v>
      </c>
      <c r="C40" s="136">
        <f t="shared" si="0"/>
        <v>750000</v>
      </c>
      <c r="D40" s="136">
        <f t="shared" si="1"/>
        <v>1000000</v>
      </c>
      <c r="E40" s="136">
        <f t="shared" si="1"/>
        <v>1500000</v>
      </c>
      <c r="F40" s="136">
        <f t="shared" si="1"/>
        <v>2000000</v>
      </c>
      <c r="G40" s="136">
        <f t="shared" si="1"/>
        <v>2500000</v>
      </c>
      <c r="H40" s="418">
        <f t="shared" si="3"/>
        <v>3000000</v>
      </c>
      <c r="I40" s="691">
        <v>360</v>
      </c>
      <c r="K40" s="30">
        <v>0.8</v>
      </c>
      <c r="L40" s="700">
        <v>0.95</v>
      </c>
      <c r="M40" s="431" t="s">
        <v>330</v>
      </c>
    </row>
    <row r="41" spans="1:13" ht="12.75" customHeight="1">
      <c r="A41" s="41" t="s">
        <v>1482</v>
      </c>
      <c r="B41" s="25" t="s">
        <v>1483</v>
      </c>
      <c r="C41" s="136">
        <f t="shared" si="0"/>
        <v>750000</v>
      </c>
      <c r="D41" s="136">
        <f t="shared" si="1"/>
        <v>1000000</v>
      </c>
      <c r="E41" s="136">
        <f t="shared" si="1"/>
        <v>1500000</v>
      </c>
      <c r="F41" s="136">
        <f t="shared" si="1"/>
        <v>2000000</v>
      </c>
      <c r="G41" s="136">
        <f t="shared" si="1"/>
        <v>2500000</v>
      </c>
      <c r="H41" s="418">
        <f t="shared" si="3"/>
        <v>3000000</v>
      </c>
      <c r="I41" s="691">
        <v>360</v>
      </c>
      <c r="K41" s="30">
        <v>0.8</v>
      </c>
      <c r="L41" s="700">
        <v>0.95</v>
      </c>
      <c r="M41" s="431" t="s">
        <v>330</v>
      </c>
    </row>
    <row r="42" spans="1:13" ht="12.75" customHeight="1">
      <c r="A42" s="41" t="s">
        <v>1484</v>
      </c>
      <c r="B42" s="25" t="s">
        <v>1485</v>
      </c>
      <c r="C42" s="136">
        <f t="shared" si="0"/>
        <v>750000</v>
      </c>
      <c r="D42" s="136">
        <f t="shared" si="1"/>
        <v>1000000</v>
      </c>
      <c r="E42" s="136">
        <f t="shared" si="1"/>
        <v>1500000</v>
      </c>
      <c r="F42" s="136">
        <f t="shared" si="1"/>
        <v>2000000</v>
      </c>
      <c r="G42" s="136">
        <f t="shared" si="1"/>
        <v>2500000</v>
      </c>
      <c r="H42" s="418">
        <f t="shared" si="3"/>
        <v>3000000</v>
      </c>
      <c r="I42" s="691">
        <v>360</v>
      </c>
      <c r="K42" s="30">
        <v>0.8</v>
      </c>
      <c r="M42" s="431" t="s">
        <v>330</v>
      </c>
    </row>
    <row r="43" spans="1:13" ht="12.75" customHeight="1">
      <c r="A43" s="41" t="s">
        <v>1486</v>
      </c>
      <c r="B43" s="25" t="s">
        <v>1487</v>
      </c>
      <c r="C43" s="136">
        <f t="shared" si="0"/>
        <v>750000</v>
      </c>
      <c r="D43" s="136">
        <f t="shared" si="1"/>
        <v>1000000</v>
      </c>
      <c r="E43" s="136">
        <f t="shared" si="1"/>
        <v>1500000</v>
      </c>
      <c r="F43" s="136">
        <f t="shared" si="1"/>
        <v>2000000</v>
      </c>
      <c r="G43" s="136">
        <f t="shared" si="1"/>
        <v>2500000</v>
      </c>
      <c r="H43" s="418">
        <f t="shared" si="3"/>
        <v>3000000</v>
      </c>
      <c r="I43" s="691">
        <v>360</v>
      </c>
      <c r="K43" s="30">
        <v>0.8</v>
      </c>
      <c r="L43" s="700">
        <v>0.9</v>
      </c>
      <c r="M43" s="431" t="s">
        <v>330</v>
      </c>
    </row>
    <row r="44" spans="1:13" ht="12.75" customHeight="1">
      <c r="A44" s="41" t="s">
        <v>1488</v>
      </c>
      <c r="B44" s="25" t="s">
        <v>1489</v>
      </c>
      <c r="C44" s="136">
        <f t="shared" si="0"/>
        <v>750000</v>
      </c>
      <c r="D44" s="136">
        <f t="shared" si="1"/>
        <v>1000000</v>
      </c>
      <c r="E44" s="136">
        <f t="shared" si="1"/>
        <v>1500000</v>
      </c>
      <c r="F44" s="136">
        <f t="shared" si="1"/>
        <v>2000000</v>
      </c>
      <c r="G44" s="136">
        <f t="shared" si="1"/>
        <v>2500000</v>
      </c>
      <c r="H44" s="418">
        <f t="shared" si="3"/>
        <v>3000000</v>
      </c>
      <c r="I44" s="691">
        <v>360</v>
      </c>
      <c r="K44" s="30">
        <v>0.8</v>
      </c>
      <c r="L44" s="700"/>
      <c r="M44" s="431" t="s">
        <v>330</v>
      </c>
    </row>
    <row r="45" spans="1:13" ht="12.75" customHeight="1">
      <c r="A45" s="41" t="s">
        <v>1490</v>
      </c>
      <c r="B45" s="25" t="s">
        <v>1491</v>
      </c>
      <c r="C45" s="136">
        <f t="shared" si="0"/>
        <v>750000</v>
      </c>
      <c r="D45" s="136">
        <f t="shared" si="1"/>
        <v>1000000</v>
      </c>
      <c r="E45" s="136">
        <f t="shared" si="1"/>
        <v>1500000</v>
      </c>
      <c r="F45" s="136">
        <f t="shared" si="1"/>
        <v>2000000</v>
      </c>
      <c r="G45" s="136">
        <f t="shared" si="1"/>
        <v>2500000</v>
      </c>
      <c r="H45" s="418">
        <f t="shared" si="3"/>
        <v>3000000</v>
      </c>
      <c r="I45" s="691">
        <v>360</v>
      </c>
      <c r="K45" s="30">
        <v>0.8</v>
      </c>
      <c r="L45" s="700">
        <v>0.9</v>
      </c>
      <c r="M45" s="431" t="s">
        <v>330</v>
      </c>
    </row>
    <row r="46" spans="1:13" ht="12.75" customHeight="1">
      <c r="A46" s="41" t="s">
        <v>1492</v>
      </c>
      <c r="B46" s="25" t="s">
        <v>1493</v>
      </c>
      <c r="C46" s="136">
        <f t="shared" si="0"/>
        <v>750000</v>
      </c>
      <c r="D46" s="136">
        <f t="shared" si="1"/>
        <v>1000000</v>
      </c>
      <c r="E46" s="136">
        <f t="shared" si="1"/>
        <v>1500000</v>
      </c>
      <c r="F46" s="136">
        <f t="shared" si="1"/>
        <v>2000000</v>
      </c>
      <c r="G46" s="136">
        <f t="shared" si="1"/>
        <v>2500000</v>
      </c>
      <c r="H46" s="418">
        <f t="shared" si="3"/>
        <v>3000000</v>
      </c>
      <c r="I46" s="691">
        <v>360</v>
      </c>
      <c r="K46" s="30">
        <v>0.8</v>
      </c>
      <c r="L46" s="700">
        <v>0.9</v>
      </c>
      <c r="M46" s="431" t="s">
        <v>330</v>
      </c>
    </row>
    <row r="47" spans="1:13" ht="12.75" customHeight="1">
      <c r="A47" s="41" t="s">
        <v>1494</v>
      </c>
      <c r="B47" s="25" t="s">
        <v>1495</v>
      </c>
      <c r="C47" s="136">
        <f t="shared" si="0"/>
        <v>750000</v>
      </c>
      <c r="D47" s="136">
        <f t="shared" si="1"/>
        <v>1000000</v>
      </c>
      <c r="E47" s="136">
        <f t="shared" si="1"/>
        <v>1500000</v>
      </c>
      <c r="F47" s="136">
        <f t="shared" si="1"/>
        <v>2000000</v>
      </c>
      <c r="G47" s="136">
        <f t="shared" si="1"/>
        <v>2500000</v>
      </c>
      <c r="H47" s="418">
        <f t="shared" si="3"/>
        <v>3000000</v>
      </c>
      <c r="I47" s="691">
        <v>360</v>
      </c>
      <c r="K47" s="30">
        <v>0.8</v>
      </c>
      <c r="L47" s="700">
        <v>0.9</v>
      </c>
      <c r="M47" s="431" t="s">
        <v>330</v>
      </c>
    </row>
    <row r="48" spans="1:13" ht="12.75" customHeight="1">
      <c r="A48" s="41" t="s">
        <v>1496</v>
      </c>
      <c r="B48" s="25" t="s">
        <v>1497</v>
      </c>
      <c r="C48" s="136">
        <f t="shared" si="0"/>
        <v>750000</v>
      </c>
      <c r="D48" s="136">
        <f t="shared" si="1"/>
        <v>1000000</v>
      </c>
      <c r="E48" s="136">
        <f t="shared" si="1"/>
        <v>1500000</v>
      </c>
      <c r="F48" s="136">
        <f t="shared" si="1"/>
        <v>2000000</v>
      </c>
      <c r="G48" s="136">
        <f t="shared" si="1"/>
        <v>2500000</v>
      </c>
      <c r="H48" s="418">
        <f t="shared" si="3"/>
        <v>3000000</v>
      </c>
      <c r="I48" s="691">
        <v>360</v>
      </c>
      <c r="K48" s="30">
        <v>0.8</v>
      </c>
      <c r="L48" s="700">
        <v>0.9</v>
      </c>
      <c r="M48" s="431" t="s">
        <v>330</v>
      </c>
    </row>
    <row r="49" spans="1:13" ht="12.75" customHeight="1">
      <c r="A49" s="41" t="s">
        <v>1498</v>
      </c>
      <c r="B49" s="25" t="s">
        <v>1499</v>
      </c>
      <c r="C49" s="136">
        <f t="shared" si="0"/>
        <v>750000</v>
      </c>
      <c r="D49" s="136">
        <f t="shared" si="1"/>
        <v>1000000</v>
      </c>
      <c r="E49" s="136">
        <f t="shared" si="1"/>
        <v>1500000</v>
      </c>
      <c r="F49" s="136">
        <f t="shared" si="1"/>
        <v>2000000</v>
      </c>
      <c r="G49" s="136">
        <f t="shared" si="1"/>
        <v>2500000</v>
      </c>
      <c r="H49" s="418">
        <f t="shared" si="3"/>
        <v>3000000</v>
      </c>
      <c r="I49" s="691">
        <v>360</v>
      </c>
      <c r="K49" s="30">
        <v>0.8</v>
      </c>
      <c r="L49" s="700">
        <v>0.9</v>
      </c>
      <c r="M49" s="431" t="s">
        <v>330</v>
      </c>
    </row>
    <row r="50" spans="1:13" ht="12.75" customHeight="1">
      <c r="A50" s="41" t="s">
        <v>1500</v>
      </c>
      <c r="B50" s="25" t="s">
        <v>1501</v>
      </c>
      <c r="C50" s="136">
        <f t="shared" si="0"/>
        <v>750000</v>
      </c>
      <c r="D50" s="136">
        <f t="shared" si="1"/>
        <v>1000000</v>
      </c>
      <c r="E50" s="136">
        <f t="shared" si="1"/>
        <v>1500000</v>
      </c>
      <c r="F50" s="136">
        <f t="shared" si="1"/>
        <v>2000000</v>
      </c>
      <c r="G50" s="136">
        <f t="shared" si="1"/>
        <v>2500000</v>
      </c>
      <c r="H50" s="418">
        <f t="shared" si="3"/>
        <v>3000000</v>
      </c>
      <c r="I50" s="691">
        <v>360</v>
      </c>
      <c r="K50" s="30">
        <v>0.8</v>
      </c>
      <c r="L50" s="700">
        <v>0.9</v>
      </c>
      <c r="M50" s="431" t="s">
        <v>330</v>
      </c>
    </row>
    <row r="51" spans="1:13" ht="12.75" customHeight="1">
      <c r="A51" s="41" t="s">
        <v>1502</v>
      </c>
      <c r="B51" s="25" t="s">
        <v>1503</v>
      </c>
      <c r="C51" s="136">
        <f t="shared" si="0"/>
        <v>750000</v>
      </c>
      <c r="D51" s="136">
        <f t="shared" si="1"/>
        <v>1000000</v>
      </c>
      <c r="E51" s="136">
        <f t="shared" si="1"/>
        <v>1500000</v>
      </c>
      <c r="F51" s="136">
        <f t="shared" si="1"/>
        <v>2000000</v>
      </c>
      <c r="G51" s="136">
        <f t="shared" si="1"/>
        <v>2500000</v>
      </c>
      <c r="H51" s="418">
        <f t="shared" si="3"/>
        <v>3000000</v>
      </c>
      <c r="I51" s="691">
        <v>360</v>
      </c>
      <c r="K51" s="30">
        <v>0.8</v>
      </c>
      <c r="L51" s="700">
        <v>0.9</v>
      </c>
      <c r="M51" s="431" t="s">
        <v>330</v>
      </c>
    </row>
    <row r="52" spans="1:13" ht="12.75" customHeight="1">
      <c r="A52" s="41" t="s">
        <v>1504</v>
      </c>
      <c r="B52" s="25" t="s">
        <v>1505</v>
      </c>
      <c r="C52" s="136">
        <f t="shared" si="0"/>
        <v>750000</v>
      </c>
      <c r="D52" s="136">
        <f t="shared" si="1"/>
        <v>1000000</v>
      </c>
      <c r="E52" s="136">
        <f t="shared" si="1"/>
        <v>1500000</v>
      </c>
      <c r="F52" s="136">
        <f t="shared" si="1"/>
        <v>2000000</v>
      </c>
      <c r="G52" s="136">
        <f t="shared" si="1"/>
        <v>2500000</v>
      </c>
      <c r="H52" s="418">
        <f t="shared" si="3"/>
        <v>3000000</v>
      </c>
      <c r="I52" s="691">
        <v>360</v>
      </c>
      <c r="K52" s="30">
        <v>0.8</v>
      </c>
      <c r="L52" s="700">
        <v>0.9</v>
      </c>
      <c r="M52" s="431" t="s">
        <v>330</v>
      </c>
    </row>
    <row r="53" spans="1:13" ht="12.75" customHeight="1">
      <c r="A53" s="41" t="s">
        <v>1506</v>
      </c>
      <c r="B53" s="25" t="s">
        <v>1507</v>
      </c>
      <c r="C53" s="136">
        <f t="shared" si="0"/>
        <v>750000</v>
      </c>
      <c r="D53" s="136">
        <f t="shared" si="1"/>
        <v>1000000</v>
      </c>
      <c r="E53" s="136">
        <f t="shared" si="1"/>
        <v>1500000</v>
      </c>
      <c r="F53" s="136">
        <f t="shared" si="1"/>
        <v>2000000</v>
      </c>
      <c r="G53" s="136">
        <f t="shared" si="1"/>
        <v>2500000</v>
      </c>
      <c r="H53" s="418">
        <f t="shared" si="3"/>
        <v>3000000</v>
      </c>
      <c r="I53" s="691">
        <v>360</v>
      </c>
      <c r="K53" s="30">
        <v>0.8</v>
      </c>
      <c r="L53" s="700">
        <v>0.9</v>
      </c>
      <c r="M53" s="431" t="s">
        <v>330</v>
      </c>
    </row>
    <row r="54" spans="1:13" ht="12.75" customHeight="1">
      <c r="A54" s="41" t="s">
        <v>1508</v>
      </c>
      <c r="B54" s="25" t="s">
        <v>1509</v>
      </c>
      <c r="C54" s="136">
        <f t="shared" si="0"/>
        <v>750000</v>
      </c>
      <c r="D54" s="136">
        <f t="shared" si="1"/>
        <v>1000000</v>
      </c>
      <c r="E54" s="136">
        <f t="shared" si="1"/>
        <v>1500000</v>
      </c>
      <c r="F54" s="136">
        <f t="shared" si="1"/>
        <v>2000000</v>
      </c>
      <c r="G54" s="136">
        <f t="shared" si="1"/>
        <v>2500000</v>
      </c>
      <c r="H54" s="418">
        <f t="shared" si="3"/>
        <v>3000000</v>
      </c>
      <c r="I54" s="691">
        <v>360</v>
      </c>
      <c r="K54" s="30">
        <v>0.8</v>
      </c>
      <c r="L54" s="700">
        <v>0.9</v>
      </c>
      <c r="M54" s="431" t="s">
        <v>330</v>
      </c>
    </row>
    <row r="55" spans="1:13" ht="12.75" customHeight="1">
      <c r="A55" s="41" t="s">
        <v>1510</v>
      </c>
      <c r="B55" s="25" t="s">
        <v>1511</v>
      </c>
      <c r="C55" s="136">
        <f t="shared" si="0"/>
        <v>750000</v>
      </c>
      <c r="D55" s="136">
        <f t="shared" si="1"/>
        <v>1000000</v>
      </c>
      <c r="E55" s="136">
        <f t="shared" si="1"/>
        <v>1500000</v>
      </c>
      <c r="F55" s="136">
        <f t="shared" si="1"/>
        <v>2000000</v>
      </c>
      <c r="G55" s="136">
        <f t="shared" si="1"/>
        <v>2500000</v>
      </c>
      <c r="H55" s="418">
        <f t="shared" si="3"/>
        <v>3000000</v>
      </c>
      <c r="I55" s="691">
        <v>360</v>
      </c>
      <c r="K55" s="30">
        <v>0.8</v>
      </c>
      <c r="M55" s="431" t="s">
        <v>330</v>
      </c>
    </row>
    <row r="56" spans="1:13" ht="12.75" customHeight="1">
      <c r="A56" s="41" t="s">
        <v>1512</v>
      </c>
      <c r="B56" s="25" t="s">
        <v>1513</v>
      </c>
      <c r="C56" s="136">
        <f t="shared" si="0"/>
        <v>750000</v>
      </c>
      <c r="D56" s="136">
        <f t="shared" si="1"/>
        <v>1000000</v>
      </c>
      <c r="E56" s="136">
        <f t="shared" si="1"/>
        <v>1500000</v>
      </c>
      <c r="F56" s="136">
        <f t="shared" si="1"/>
        <v>2000000</v>
      </c>
      <c r="G56" s="136">
        <f t="shared" si="1"/>
        <v>2500000</v>
      </c>
      <c r="H56" s="418">
        <f t="shared" si="3"/>
        <v>3000000</v>
      </c>
      <c r="I56" s="691">
        <v>360</v>
      </c>
      <c r="K56" s="30">
        <v>0.8</v>
      </c>
      <c r="L56" s="700">
        <v>0.9</v>
      </c>
      <c r="M56" s="431" t="s">
        <v>330</v>
      </c>
    </row>
    <row r="57" spans="1:13" ht="12.75" customHeight="1">
      <c r="A57" s="41" t="s">
        <v>1514</v>
      </c>
      <c r="B57" s="25" t="s">
        <v>1515</v>
      </c>
      <c r="C57" s="136">
        <f t="shared" si="0"/>
        <v>750000</v>
      </c>
      <c r="D57" s="136">
        <f t="shared" si="1"/>
        <v>1000000</v>
      </c>
      <c r="E57" s="136">
        <f t="shared" si="1"/>
        <v>1500000</v>
      </c>
      <c r="F57" s="136">
        <f t="shared" si="1"/>
        <v>2000000</v>
      </c>
      <c r="G57" s="136">
        <f t="shared" si="1"/>
        <v>2500000</v>
      </c>
      <c r="H57" s="418">
        <f t="shared" si="3"/>
        <v>3000000</v>
      </c>
      <c r="I57" s="691">
        <v>360</v>
      </c>
      <c r="K57" s="30">
        <v>0.8</v>
      </c>
      <c r="L57" s="700">
        <v>0.95</v>
      </c>
      <c r="M57" s="431" t="s">
        <v>330</v>
      </c>
    </row>
    <row r="58" spans="1:13" ht="12.75" customHeight="1">
      <c r="A58" s="41" t="s">
        <v>1516</v>
      </c>
      <c r="B58" s="25" t="s">
        <v>1517</v>
      </c>
      <c r="C58" s="136">
        <f t="shared" si="0"/>
        <v>750000</v>
      </c>
      <c r="D58" s="136">
        <f t="shared" si="1"/>
        <v>1000000</v>
      </c>
      <c r="E58" s="136">
        <f t="shared" si="1"/>
        <v>1500000</v>
      </c>
      <c r="F58" s="136">
        <f t="shared" si="1"/>
        <v>2000000</v>
      </c>
      <c r="G58" s="136">
        <f t="shared" si="1"/>
        <v>2500000</v>
      </c>
      <c r="H58" s="418">
        <f t="shared" si="3"/>
        <v>3000000</v>
      </c>
      <c r="I58" s="691">
        <v>360</v>
      </c>
      <c r="K58" s="30">
        <v>0.8</v>
      </c>
      <c r="M58" s="431" t="s">
        <v>330</v>
      </c>
    </row>
    <row r="59" spans="1:13" ht="12.75" customHeight="1">
      <c r="A59" s="41" t="s">
        <v>1518</v>
      </c>
      <c r="B59" s="25" t="s">
        <v>1519</v>
      </c>
      <c r="C59" s="136">
        <f t="shared" si="0"/>
        <v>750000</v>
      </c>
      <c r="D59" s="136">
        <f t="shared" si="1"/>
        <v>1000000</v>
      </c>
      <c r="E59" s="136">
        <f t="shared" si="1"/>
        <v>1500000</v>
      </c>
      <c r="F59" s="136">
        <f t="shared" si="1"/>
        <v>2000000</v>
      </c>
      <c r="G59" s="136">
        <f t="shared" si="1"/>
        <v>2500000</v>
      </c>
      <c r="H59" s="418">
        <f t="shared" si="3"/>
        <v>3000000</v>
      </c>
      <c r="I59" s="691">
        <v>360</v>
      </c>
      <c r="K59" s="30">
        <v>0.8</v>
      </c>
      <c r="L59" s="700">
        <v>0.9</v>
      </c>
      <c r="M59" s="431" t="s">
        <v>330</v>
      </c>
    </row>
    <row r="60" spans="1:13" ht="12.75" customHeight="1">
      <c r="A60" s="41" t="s">
        <v>1520</v>
      </c>
      <c r="B60" s="25" t="s">
        <v>1521</v>
      </c>
      <c r="C60" s="136">
        <f t="shared" si="0"/>
        <v>750000</v>
      </c>
      <c r="D60" s="136">
        <f t="shared" si="1"/>
        <v>1000000</v>
      </c>
      <c r="E60" s="136">
        <f t="shared" si="1"/>
        <v>1500000</v>
      </c>
      <c r="F60" s="136">
        <f t="shared" si="1"/>
        <v>2000000</v>
      </c>
      <c r="G60" s="136">
        <f t="shared" si="1"/>
        <v>2500000</v>
      </c>
      <c r="H60" s="418">
        <f t="shared" si="3"/>
        <v>3000000</v>
      </c>
      <c r="I60" s="691">
        <v>360</v>
      </c>
      <c r="K60" s="30">
        <v>0.8</v>
      </c>
      <c r="L60" s="700">
        <v>0.95</v>
      </c>
      <c r="M60" s="431" t="s">
        <v>330</v>
      </c>
    </row>
    <row r="61" spans="1:13" ht="12.75" customHeight="1">
      <c r="A61" s="41" t="s">
        <v>1522</v>
      </c>
      <c r="B61" s="25" t="s">
        <v>1523</v>
      </c>
      <c r="C61" s="136">
        <f t="shared" si="0"/>
        <v>750000</v>
      </c>
      <c r="D61" s="136">
        <f t="shared" si="1"/>
        <v>1000000</v>
      </c>
      <c r="E61" s="136">
        <f t="shared" si="1"/>
        <v>1500000</v>
      </c>
      <c r="F61" s="136">
        <f t="shared" si="1"/>
        <v>2000000</v>
      </c>
      <c r="G61" s="136">
        <f t="shared" si="1"/>
        <v>2500000</v>
      </c>
      <c r="H61" s="418">
        <f t="shared" si="3"/>
        <v>3000000</v>
      </c>
      <c r="I61" s="691">
        <v>360</v>
      </c>
      <c r="K61" s="30">
        <v>0.8</v>
      </c>
      <c r="L61" s="700">
        <v>0.95</v>
      </c>
      <c r="M61" s="431" t="s">
        <v>330</v>
      </c>
    </row>
    <row r="62" spans="1:13" ht="12.75" customHeight="1">
      <c r="A62" s="41" t="s">
        <v>1524</v>
      </c>
      <c r="B62" s="25" t="s">
        <v>1525</v>
      </c>
      <c r="C62" s="136">
        <f t="shared" ref="C62:C93" si="4">VLOOKUP($B62,ProductDLA,C$27,FALSE)</f>
        <v>750000</v>
      </c>
      <c r="D62" s="136">
        <f t="shared" si="1"/>
        <v>1000000</v>
      </c>
      <c r="E62" s="136">
        <f t="shared" si="1"/>
        <v>1500000</v>
      </c>
      <c r="F62" s="136">
        <f t="shared" si="1"/>
        <v>2000000</v>
      </c>
      <c r="G62" s="136">
        <f t="shared" si="1"/>
        <v>2500000</v>
      </c>
      <c r="H62" s="418">
        <f t="shared" si="3"/>
        <v>3000000</v>
      </c>
      <c r="I62" s="691">
        <v>360</v>
      </c>
      <c r="K62" s="30">
        <v>0.8</v>
      </c>
      <c r="L62" s="700">
        <v>0.95</v>
      </c>
      <c r="M62" s="431" t="s">
        <v>330</v>
      </c>
    </row>
    <row r="63" spans="1:13" ht="12.75" customHeight="1">
      <c r="A63" s="41" t="s">
        <v>1526</v>
      </c>
      <c r="B63" s="25" t="s">
        <v>1527</v>
      </c>
      <c r="C63" s="136">
        <f t="shared" si="4"/>
        <v>750000</v>
      </c>
      <c r="D63" s="136">
        <f t="shared" si="1"/>
        <v>1000000</v>
      </c>
      <c r="E63" s="136">
        <f t="shared" si="1"/>
        <v>1500000</v>
      </c>
      <c r="F63" s="136">
        <f t="shared" si="1"/>
        <v>2000000</v>
      </c>
      <c r="G63" s="136">
        <f t="shared" si="1"/>
        <v>2500000</v>
      </c>
      <c r="H63" s="418">
        <f t="shared" ref="H63:H94" si="5">VLOOKUP($B63,ProductDLA,H$27,FALSE)</f>
        <v>3000000</v>
      </c>
      <c r="I63" s="691">
        <v>360</v>
      </c>
      <c r="K63" s="30">
        <v>0.8</v>
      </c>
      <c r="L63" s="700">
        <v>0.95</v>
      </c>
      <c r="M63" s="431" t="s">
        <v>330</v>
      </c>
    </row>
    <row r="64" spans="1:13" ht="12.75" customHeight="1">
      <c r="A64" s="41" t="s">
        <v>1528</v>
      </c>
      <c r="B64" s="25" t="s">
        <v>1529</v>
      </c>
      <c r="C64" s="136">
        <f t="shared" si="4"/>
        <v>750000</v>
      </c>
      <c r="D64" s="136">
        <f t="shared" si="1"/>
        <v>1000000</v>
      </c>
      <c r="E64" s="136">
        <f t="shared" si="1"/>
        <v>1500000</v>
      </c>
      <c r="F64" s="136">
        <f t="shared" si="1"/>
        <v>2000000</v>
      </c>
      <c r="G64" s="136">
        <f t="shared" si="1"/>
        <v>2500000</v>
      </c>
      <c r="H64" s="418">
        <f t="shared" si="5"/>
        <v>3000000</v>
      </c>
      <c r="I64" s="691">
        <v>360</v>
      </c>
      <c r="K64" s="30">
        <v>0.8</v>
      </c>
      <c r="L64" s="700">
        <v>0.95</v>
      </c>
      <c r="M64" s="431" t="s">
        <v>330</v>
      </c>
    </row>
    <row r="65" spans="1:13" ht="12.75" customHeight="1">
      <c r="A65" s="41" t="s">
        <v>1530</v>
      </c>
      <c r="B65" s="25" t="s">
        <v>1531</v>
      </c>
      <c r="C65" s="136">
        <f t="shared" si="4"/>
        <v>750000</v>
      </c>
      <c r="D65" s="136">
        <f t="shared" si="1"/>
        <v>1000000</v>
      </c>
      <c r="E65" s="136">
        <f t="shared" si="1"/>
        <v>1500000</v>
      </c>
      <c r="F65" s="136">
        <f t="shared" si="1"/>
        <v>2000000</v>
      </c>
      <c r="G65" s="136">
        <f t="shared" si="1"/>
        <v>2500000</v>
      </c>
      <c r="H65" s="418">
        <f t="shared" si="5"/>
        <v>3000000</v>
      </c>
      <c r="I65" s="691">
        <v>360</v>
      </c>
      <c r="K65" s="30">
        <v>0.8</v>
      </c>
      <c r="L65" s="700">
        <v>0.95</v>
      </c>
      <c r="M65" s="431" t="s">
        <v>330</v>
      </c>
    </row>
    <row r="66" spans="1:13" ht="12.75" customHeight="1">
      <c r="A66" s="41" t="s">
        <v>1532</v>
      </c>
      <c r="B66" s="25" t="s">
        <v>1533</v>
      </c>
      <c r="C66" s="136">
        <f t="shared" si="4"/>
        <v>750000</v>
      </c>
      <c r="D66" s="136">
        <f t="shared" si="1"/>
        <v>1000000</v>
      </c>
      <c r="E66" s="136">
        <f t="shared" si="1"/>
        <v>1500000</v>
      </c>
      <c r="F66" s="136">
        <f t="shared" si="1"/>
        <v>2000000</v>
      </c>
      <c r="G66" s="136">
        <f t="shared" si="1"/>
        <v>2500000</v>
      </c>
      <c r="H66" s="418">
        <f t="shared" si="5"/>
        <v>3000000</v>
      </c>
      <c r="I66" s="691">
        <v>360</v>
      </c>
      <c r="K66" s="30">
        <v>0.8</v>
      </c>
      <c r="M66" s="431" t="s">
        <v>330</v>
      </c>
    </row>
    <row r="67" spans="1:13" ht="12.75" customHeight="1">
      <c r="A67" s="41" t="s">
        <v>1534</v>
      </c>
      <c r="B67" s="25" t="s">
        <v>1535</v>
      </c>
      <c r="C67" s="136">
        <f t="shared" si="4"/>
        <v>750000</v>
      </c>
      <c r="D67" s="136">
        <f t="shared" si="1"/>
        <v>1000000</v>
      </c>
      <c r="E67" s="136">
        <f t="shared" si="1"/>
        <v>1500000</v>
      </c>
      <c r="F67" s="136">
        <f t="shared" si="1"/>
        <v>2000000</v>
      </c>
      <c r="G67" s="136">
        <f t="shared" si="1"/>
        <v>2500000</v>
      </c>
      <c r="H67" s="418">
        <f t="shared" si="5"/>
        <v>3000000</v>
      </c>
      <c r="I67" s="691">
        <v>360</v>
      </c>
      <c r="K67" s="30">
        <v>0.8</v>
      </c>
      <c r="L67" s="700">
        <v>0.9</v>
      </c>
      <c r="M67" s="431" t="s">
        <v>330</v>
      </c>
    </row>
    <row r="68" spans="1:13" ht="12.75" customHeight="1">
      <c r="A68" s="41" t="s">
        <v>1536</v>
      </c>
      <c r="B68" s="25" t="s">
        <v>1537</v>
      </c>
      <c r="C68" s="136">
        <f t="shared" si="4"/>
        <v>750000</v>
      </c>
      <c r="D68" s="136">
        <f t="shared" si="1"/>
        <v>1000000</v>
      </c>
      <c r="E68" s="136">
        <f t="shared" si="1"/>
        <v>1500000</v>
      </c>
      <c r="F68" s="136">
        <f t="shared" si="1"/>
        <v>2000000</v>
      </c>
      <c r="G68" s="136">
        <f t="shared" si="1"/>
        <v>2500000</v>
      </c>
      <c r="H68" s="418">
        <f t="shared" si="5"/>
        <v>3000000</v>
      </c>
      <c r="I68" s="691">
        <v>360</v>
      </c>
      <c r="K68" s="30">
        <v>0.8</v>
      </c>
      <c r="M68" s="431" t="s">
        <v>330</v>
      </c>
    </row>
    <row r="69" spans="1:13" ht="12.75" customHeight="1">
      <c r="A69" s="41" t="s">
        <v>1538</v>
      </c>
      <c r="B69" s="25" t="s">
        <v>1539</v>
      </c>
      <c r="C69" s="136">
        <f t="shared" si="4"/>
        <v>750000</v>
      </c>
      <c r="D69" s="136">
        <f t="shared" si="1"/>
        <v>1000000</v>
      </c>
      <c r="E69" s="136">
        <f t="shared" si="1"/>
        <v>1500000</v>
      </c>
      <c r="F69" s="136">
        <f t="shared" si="1"/>
        <v>2000000</v>
      </c>
      <c r="G69" s="136">
        <f t="shared" si="1"/>
        <v>2500000</v>
      </c>
      <c r="H69" s="418">
        <f t="shared" si="5"/>
        <v>3000000</v>
      </c>
      <c r="I69" s="691">
        <v>360</v>
      </c>
      <c r="K69" s="30">
        <v>0.8</v>
      </c>
      <c r="L69" s="700">
        <v>0.9</v>
      </c>
      <c r="M69" s="431" t="s">
        <v>330</v>
      </c>
    </row>
    <row r="70" spans="1:13" ht="12.75" customHeight="1">
      <c r="A70" s="41" t="s">
        <v>1540</v>
      </c>
      <c r="B70" s="25" t="s">
        <v>1541</v>
      </c>
      <c r="C70" s="136">
        <f t="shared" si="4"/>
        <v>750000</v>
      </c>
      <c r="D70" s="136">
        <f t="shared" si="1"/>
        <v>1000000</v>
      </c>
      <c r="E70" s="136">
        <f t="shared" si="1"/>
        <v>1500000</v>
      </c>
      <c r="F70" s="136">
        <f t="shared" si="1"/>
        <v>2000000</v>
      </c>
      <c r="G70" s="136">
        <f t="shared" si="1"/>
        <v>2500000</v>
      </c>
      <c r="H70" s="418">
        <f t="shared" si="5"/>
        <v>3000000</v>
      </c>
      <c r="I70" s="691">
        <v>360</v>
      </c>
      <c r="K70" s="30">
        <v>0.8</v>
      </c>
      <c r="L70" s="700">
        <v>0.9</v>
      </c>
      <c r="M70" s="431" t="s">
        <v>330</v>
      </c>
    </row>
    <row r="71" spans="1:13" ht="12.75" customHeight="1">
      <c r="A71" s="41" t="s">
        <v>1542</v>
      </c>
      <c r="B71" s="25" t="s">
        <v>1543</v>
      </c>
      <c r="C71" s="136">
        <f t="shared" si="4"/>
        <v>750000</v>
      </c>
      <c r="D71" s="136">
        <f t="shared" si="1"/>
        <v>1000000</v>
      </c>
      <c r="E71" s="136">
        <f t="shared" si="1"/>
        <v>1500000</v>
      </c>
      <c r="F71" s="136">
        <f t="shared" si="1"/>
        <v>2000000</v>
      </c>
      <c r="G71" s="136">
        <f t="shared" si="1"/>
        <v>2500000</v>
      </c>
      <c r="H71" s="418">
        <f t="shared" si="5"/>
        <v>3000000</v>
      </c>
      <c r="I71" s="691">
        <v>360</v>
      </c>
      <c r="K71" s="30">
        <v>0.8</v>
      </c>
      <c r="L71" s="700">
        <v>0.9</v>
      </c>
      <c r="M71" s="431" t="s">
        <v>330</v>
      </c>
    </row>
    <row r="72" spans="1:13" ht="12.75" customHeight="1">
      <c r="A72" s="41" t="s">
        <v>1544</v>
      </c>
      <c r="B72" s="25" t="s">
        <v>1545</v>
      </c>
      <c r="C72" s="136">
        <f t="shared" si="4"/>
        <v>750000</v>
      </c>
      <c r="D72" s="136">
        <f t="shared" si="1"/>
        <v>1000000</v>
      </c>
      <c r="E72" s="136">
        <f t="shared" si="1"/>
        <v>1500000</v>
      </c>
      <c r="F72" s="136">
        <f t="shared" si="1"/>
        <v>2000000</v>
      </c>
      <c r="G72" s="136">
        <f t="shared" si="1"/>
        <v>2500000</v>
      </c>
      <c r="H72" s="418">
        <f t="shared" si="5"/>
        <v>3000000</v>
      </c>
      <c r="I72" s="691">
        <v>360</v>
      </c>
      <c r="K72" s="30">
        <v>0.8</v>
      </c>
      <c r="L72" s="700">
        <v>0.9</v>
      </c>
      <c r="M72" s="431" t="s">
        <v>330</v>
      </c>
    </row>
    <row r="73" spans="1:13" ht="12.75" customHeight="1">
      <c r="A73" s="41" t="s">
        <v>1546</v>
      </c>
      <c r="B73" s="25" t="s">
        <v>1547</v>
      </c>
      <c r="C73" s="136">
        <f t="shared" si="4"/>
        <v>750000</v>
      </c>
      <c r="D73" s="136">
        <f t="shared" si="1"/>
        <v>1000000</v>
      </c>
      <c r="E73" s="136">
        <f t="shared" si="1"/>
        <v>1500000</v>
      </c>
      <c r="F73" s="136">
        <f t="shared" si="1"/>
        <v>2000000</v>
      </c>
      <c r="G73" s="136">
        <f t="shared" si="1"/>
        <v>2500000</v>
      </c>
      <c r="H73" s="418">
        <f t="shared" si="5"/>
        <v>3000000</v>
      </c>
      <c r="I73" s="691">
        <v>360</v>
      </c>
      <c r="K73" s="30">
        <v>0.8</v>
      </c>
      <c r="L73" s="700">
        <v>0.9</v>
      </c>
      <c r="M73" s="431" t="s">
        <v>330</v>
      </c>
    </row>
    <row r="74" spans="1:13" ht="12.75" customHeight="1">
      <c r="A74" s="41" t="s">
        <v>1548</v>
      </c>
      <c r="B74" s="25" t="s">
        <v>1549</v>
      </c>
      <c r="C74" s="136">
        <f t="shared" si="4"/>
        <v>750000</v>
      </c>
      <c r="D74" s="136">
        <f t="shared" si="1"/>
        <v>1000000</v>
      </c>
      <c r="E74" s="136">
        <f t="shared" si="1"/>
        <v>1500000</v>
      </c>
      <c r="F74" s="136">
        <f t="shared" si="1"/>
        <v>2000000</v>
      </c>
      <c r="G74" s="136">
        <f t="shared" si="1"/>
        <v>2500000</v>
      </c>
      <c r="H74" s="418">
        <f t="shared" si="5"/>
        <v>3000000</v>
      </c>
      <c r="I74" s="691">
        <v>360</v>
      </c>
      <c r="K74" s="30">
        <v>0.8</v>
      </c>
      <c r="L74" s="700">
        <v>0.9</v>
      </c>
      <c r="M74" s="431" t="s">
        <v>330</v>
      </c>
    </row>
    <row r="75" spans="1:13" ht="12.75" customHeight="1">
      <c r="A75" s="41" t="s">
        <v>1550</v>
      </c>
      <c r="B75" s="25" t="s">
        <v>1551</v>
      </c>
      <c r="C75" s="136">
        <f t="shared" si="4"/>
        <v>750000</v>
      </c>
      <c r="D75" s="136">
        <f t="shared" si="1"/>
        <v>1000000</v>
      </c>
      <c r="E75" s="136">
        <f t="shared" si="1"/>
        <v>1500000</v>
      </c>
      <c r="F75" s="136">
        <f t="shared" si="1"/>
        <v>2000000</v>
      </c>
      <c r="G75" s="136">
        <f t="shared" si="1"/>
        <v>2500000</v>
      </c>
      <c r="H75" s="418">
        <f t="shared" si="5"/>
        <v>3000000</v>
      </c>
      <c r="I75" s="691">
        <v>360</v>
      </c>
      <c r="K75" s="30">
        <v>0.8</v>
      </c>
      <c r="L75" s="700">
        <v>0.9</v>
      </c>
      <c r="M75" s="431" t="s">
        <v>330</v>
      </c>
    </row>
    <row r="76" spans="1:13" ht="12.75" customHeight="1">
      <c r="A76" s="41" t="s">
        <v>1552</v>
      </c>
      <c r="B76" s="25" t="s">
        <v>1553</v>
      </c>
      <c r="C76" s="136">
        <f t="shared" si="4"/>
        <v>750000</v>
      </c>
      <c r="D76" s="136">
        <f t="shared" si="1"/>
        <v>1000000</v>
      </c>
      <c r="E76" s="136">
        <f t="shared" si="1"/>
        <v>1500000</v>
      </c>
      <c r="F76" s="136">
        <f t="shared" si="1"/>
        <v>2000000</v>
      </c>
      <c r="G76" s="136">
        <f t="shared" si="1"/>
        <v>2500000</v>
      </c>
      <c r="H76" s="418">
        <f t="shared" si="5"/>
        <v>3000000</v>
      </c>
      <c r="I76" s="691">
        <v>360</v>
      </c>
      <c r="K76" s="30">
        <v>0.8</v>
      </c>
      <c r="L76" s="700">
        <v>0.9</v>
      </c>
      <c r="M76" s="431" t="s">
        <v>330</v>
      </c>
    </row>
    <row r="77" spans="1:13" ht="12.75" customHeight="1">
      <c r="A77" s="41" t="s">
        <v>1554</v>
      </c>
      <c r="B77" s="25" t="s">
        <v>1555</v>
      </c>
      <c r="C77" s="136">
        <f t="shared" si="4"/>
        <v>750000</v>
      </c>
      <c r="D77" s="136">
        <f t="shared" si="1"/>
        <v>1000000</v>
      </c>
      <c r="E77" s="136">
        <f t="shared" si="1"/>
        <v>1500000</v>
      </c>
      <c r="F77" s="136">
        <f t="shared" si="1"/>
        <v>2000000</v>
      </c>
      <c r="G77" s="136">
        <f t="shared" si="1"/>
        <v>2500000</v>
      </c>
      <c r="H77" s="418">
        <f t="shared" si="5"/>
        <v>3000000</v>
      </c>
      <c r="I77" s="691">
        <v>360</v>
      </c>
      <c r="K77" s="30">
        <v>0.8</v>
      </c>
      <c r="L77" s="700">
        <v>0.9</v>
      </c>
      <c r="M77" s="431" t="s">
        <v>330</v>
      </c>
    </row>
    <row r="78" spans="1:13" ht="12.75" customHeight="1">
      <c r="A78" s="41" t="s">
        <v>1556</v>
      </c>
      <c r="B78" s="25" t="s">
        <v>1557</v>
      </c>
      <c r="C78" s="136">
        <f t="shared" si="4"/>
        <v>750000</v>
      </c>
      <c r="D78" s="136">
        <f t="shared" si="1"/>
        <v>1000000</v>
      </c>
      <c r="E78" s="136">
        <f t="shared" si="1"/>
        <v>1500000</v>
      </c>
      <c r="F78" s="136">
        <f t="shared" si="1"/>
        <v>2000000</v>
      </c>
      <c r="G78" s="136">
        <f t="shared" si="1"/>
        <v>2500000</v>
      </c>
      <c r="H78" s="418">
        <f t="shared" si="5"/>
        <v>3000000</v>
      </c>
      <c r="I78" s="691">
        <v>360</v>
      </c>
      <c r="K78" s="30">
        <v>0.8</v>
      </c>
      <c r="L78" s="700">
        <v>0.9</v>
      </c>
      <c r="M78" s="431" t="s">
        <v>330</v>
      </c>
    </row>
    <row r="79" spans="1:13" ht="12.75" customHeight="1">
      <c r="A79" s="41" t="s">
        <v>1558</v>
      </c>
      <c r="B79" s="25" t="s">
        <v>1559</v>
      </c>
      <c r="C79" s="136">
        <f t="shared" si="4"/>
        <v>750000</v>
      </c>
      <c r="D79" s="136">
        <f t="shared" si="1"/>
        <v>1000000</v>
      </c>
      <c r="E79" s="136">
        <f t="shared" si="1"/>
        <v>1500000</v>
      </c>
      <c r="F79" s="136">
        <f t="shared" si="1"/>
        <v>2000000</v>
      </c>
      <c r="G79" s="136">
        <f t="shared" si="1"/>
        <v>2500000</v>
      </c>
      <c r="H79" s="418">
        <f t="shared" si="5"/>
        <v>3000000</v>
      </c>
      <c r="I79" s="691">
        <v>360</v>
      </c>
      <c r="K79" s="30">
        <v>0.8</v>
      </c>
      <c r="M79" s="431" t="s">
        <v>330</v>
      </c>
    </row>
    <row r="80" spans="1:13" ht="12.75" customHeight="1">
      <c r="A80" s="41" t="s">
        <v>1560</v>
      </c>
      <c r="B80" s="25" t="s">
        <v>1561</v>
      </c>
      <c r="C80" s="136">
        <f t="shared" si="4"/>
        <v>750000</v>
      </c>
      <c r="D80" s="136">
        <f t="shared" si="1"/>
        <v>1000000</v>
      </c>
      <c r="E80" s="136">
        <f t="shared" si="1"/>
        <v>1500000</v>
      </c>
      <c r="F80" s="136">
        <f t="shared" si="1"/>
        <v>2000000</v>
      </c>
      <c r="G80" s="136">
        <f t="shared" si="1"/>
        <v>2500000</v>
      </c>
      <c r="H80" s="418">
        <f t="shared" si="5"/>
        <v>3000000</v>
      </c>
      <c r="I80" s="691">
        <v>360</v>
      </c>
      <c r="K80" s="30">
        <v>0.8</v>
      </c>
      <c r="L80" s="700">
        <v>0.9</v>
      </c>
      <c r="M80" s="431" t="s">
        <v>330</v>
      </c>
    </row>
    <row r="81" spans="1:13" ht="12.75" customHeight="1">
      <c r="A81" s="41" t="s">
        <v>1562</v>
      </c>
      <c r="B81" s="25" t="s">
        <v>1563</v>
      </c>
      <c r="C81" s="136">
        <f t="shared" si="4"/>
        <v>750000</v>
      </c>
      <c r="D81" s="136">
        <f t="shared" si="1"/>
        <v>1000000</v>
      </c>
      <c r="E81" s="136">
        <f t="shared" si="1"/>
        <v>1500000</v>
      </c>
      <c r="F81" s="136">
        <f t="shared" si="1"/>
        <v>2000000</v>
      </c>
      <c r="G81" s="136">
        <f t="shared" si="1"/>
        <v>2500000</v>
      </c>
      <c r="H81" s="418">
        <f t="shared" si="5"/>
        <v>3000000</v>
      </c>
      <c r="I81" s="691">
        <v>360</v>
      </c>
      <c r="K81" s="30">
        <v>0.8</v>
      </c>
      <c r="L81" s="700">
        <v>0.95</v>
      </c>
      <c r="M81" s="431" t="s">
        <v>330</v>
      </c>
    </row>
    <row r="82" spans="1:13" ht="12.75" customHeight="1">
      <c r="A82" s="41" t="s">
        <v>1564</v>
      </c>
      <c r="B82" s="25" t="s">
        <v>1565</v>
      </c>
      <c r="C82" s="136">
        <f t="shared" si="4"/>
        <v>750000</v>
      </c>
      <c r="D82" s="136">
        <f t="shared" si="1"/>
        <v>1000000</v>
      </c>
      <c r="E82" s="136">
        <f t="shared" si="1"/>
        <v>1500000</v>
      </c>
      <c r="F82" s="136">
        <f t="shared" si="1"/>
        <v>2000000</v>
      </c>
      <c r="G82" s="136">
        <f t="shared" si="1"/>
        <v>2500000</v>
      </c>
      <c r="H82" s="418">
        <f t="shared" si="5"/>
        <v>3000000</v>
      </c>
      <c r="I82" s="691">
        <v>360</v>
      </c>
      <c r="K82" s="30">
        <v>0.8</v>
      </c>
      <c r="M82" s="431" t="s">
        <v>330</v>
      </c>
    </row>
    <row r="83" spans="1:13" ht="12.75" customHeight="1">
      <c r="A83" s="41" t="s">
        <v>1566</v>
      </c>
      <c r="B83" s="25" t="s">
        <v>1567</v>
      </c>
      <c r="C83" s="136">
        <f t="shared" si="4"/>
        <v>750000</v>
      </c>
      <c r="D83" s="136">
        <f t="shared" si="1"/>
        <v>1000000</v>
      </c>
      <c r="E83" s="136">
        <f t="shared" si="1"/>
        <v>1500000</v>
      </c>
      <c r="F83" s="136">
        <f t="shared" si="1"/>
        <v>2000000</v>
      </c>
      <c r="G83" s="136">
        <f t="shared" si="1"/>
        <v>2500000</v>
      </c>
      <c r="H83" s="418">
        <f t="shared" si="5"/>
        <v>3000000</v>
      </c>
      <c r="I83" s="691">
        <v>360</v>
      </c>
      <c r="K83" s="30">
        <v>0.8</v>
      </c>
      <c r="L83" s="700">
        <v>0.9</v>
      </c>
      <c r="M83" s="431" t="s">
        <v>330</v>
      </c>
    </row>
    <row r="84" spans="1:13" ht="12.75" customHeight="1">
      <c r="A84" s="41" t="s">
        <v>1568</v>
      </c>
      <c r="B84" s="25" t="s">
        <v>1569</v>
      </c>
      <c r="C84" s="136">
        <f t="shared" si="4"/>
        <v>750000</v>
      </c>
      <c r="D84" s="136">
        <f t="shared" si="1"/>
        <v>1000000</v>
      </c>
      <c r="E84" s="136">
        <f t="shared" si="1"/>
        <v>1500000</v>
      </c>
      <c r="F84" s="136">
        <f t="shared" si="1"/>
        <v>2000000</v>
      </c>
      <c r="G84" s="136">
        <f t="shared" si="1"/>
        <v>2500000</v>
      </c>
      <c r="H84" s="418">
        <f t="shared" si="5"/>
        <v>3000000</v>
      </c>
      <c r="I84" s="691">
        <v>360</v>
      </c>
      <c r="K84" s="30">
        <v>0.8</v>
      </c>
      <c r="L84" s="700">
        <v>0.95</v>
      </c>
      <c r="M84" s="431" t="s">
        <v>330</v>
      </c>
    </row>
    <row r="85" spans="1:13" ht="12.75" customHeight="1">
      <c r="A85" s="41" t="s">
        <v>1570</v>
      </c>
      <c r="B85" s="25" t="s">
        <v>1571</v>
      </c>
      <c r="C85" s="136">
        <f t="shared" si="4"/>
        <v>750000</v>
      </c>
      <c r="D85" s="136">
        <f t="shared" si="1"/>
        <v>1000000</v>
      </c>
      <c r="E85" s="136">
        <f t="shared" si="1"/>
        <v>1500000</v>
      </c>
      <c r="F85" s="136">
        <f t="shared" si="1"/>
        <v>2000000</v>
      </c>
      <c r="G85" s="136">
        <f t="shared" si="1"/>
        <v>2500000</v>
      </c>
      <c r="H85" s="418">
        <f t="shared" si="5"/>
        <v>3000000</v>
      </c>
      <c r="I85" s="691">
        <v>360</v>
      </c>
      <c r="K85" s="30">
        <v>0.8</v>
      </c>
      <c r="L85" s="700">
        <v>0.95</v>
      </c>
      <c r="M85" s="431" t="s">
        <v>330</v>
      </c>
    </row>
    <row r="86" spans="1:13" ht="12.75" customHeight="1">
      <c r="A86" s="41" t="s">
        <v>1572</v>
      </c>
      <c r="B86" s="25" t="s">
        <v>1573</v>
      </c>
      <c r="C86" s="136">
        <f t="shared" si="4"/>
        <v>750000</v>
      </c>
      <c r="D86" s="136">
        <f t="shared" si="1"/>
        <v>1000000</v>
      </c>
      <c r="E86" s="136">
        <f t="shared" si="1"/>
        <v>1500000</v>
      </c>
      <c r="F86" s="136">
        <f t="shared" si="1"/>
        <v>2000000</v>
      </c>
      <c r="G86" s="136">
        <f t="shared" si="1"/>
        <v>2500000</v>
      </c>
      <c r="H86" s="418">
        <f t="shared" si="5"/>
        <v>3000000</v>
      </c>
      <c r="I86" s="691">
        <v>360</v>
      </c>
      <c r="K86" s="30">
        <v>0.8</v>
      </c>
      <c r="L86" s="700">
        <v>0.95</v>
      </c>
      <c r="M86" s="431" t="s">
        <v>330</v>
      </c>
    </row>
    <row r="87" spans="1:13" ht="12.75" customHeight="1">
      <c r="A87" s="41" t="s">
        <v>1574</v>
      </c>
      <c r="B87" s="25" t="s">
        <v>1575</v>
      </c>
      <c r="C87" s="136">
        <f t="shared" si="4"/>
        <v>750000</v>
      </c>
      <c r="D87" s="136">
        <f t="shared" si="1"/>
        <v>1000000</v>
      </c>
      <c r="E87" s="136">
        <f t="shared" si="1"/>
        <v>1500000</v>
      </c>
      <c r="F87" s="136">
        <f t="shared" si="1"/>
        <v>2000000</v>
      </c>
      <c r="G87" s="136">
        <f t="shared" si="1"/>
        <v>2500000</v>
      </c>
      <c r="H87" s="418">
        <f t="shared" si="5"/>
        <v>3000000</v>
      </c>
      <c r="I87" s="691">
        <v>360</v>
      </c>
      <c r="K87" s="30">
        <v>0.8</v>
      </c>
      <c r="L87" s="700">
        <v>0.95</v>
      </c>
      <c r="M87" s="431" t="s">
        <v>330</v>
      </c>
    </row>
    <row r="88" spans="1:13" ht="12.75" customHeight="1">
      <c r="A88" s="41" t="s">
        <v>1576</v>
      </c>
      <c r="B88" s="25" t="s">
        <v>1577</v>
      </c>
      <c r="C88" s="136">
        <f t="shared" si="4"/>
        <v>750000</v>
      </c>
      <c r="D88" s="136">
        <f t="shared" si="1"/>
        <v>1000000</v>
      </c>
      <c r="E88" s="136">
        <f t="shared" si="1"/>
        <v>1500000</v>
      </c>
      <c r="F88" s="136">
        <f t="shared" si="1"/>
        <v>2000000</v>
      </c>
      <c r="G88" s="136">
        <f t="shared" si="1"/>
        <v>2500000</v>
      </c>
      <c r="H88" s="418">
        <f t="shared" si="5"/>
        <v>3000000</v>
      </c>
      <c r="I88" s="691">
        <v>360</v>
      </c>
      <c r="K88" s="30">
        <v>0.8</v>
      </c>
      <c r="L88" s="700">
        <v>0.95</v>
      </c>
      <c r="M88" s="431" t="s">
        <v>330</v>
      </c>
    </row>
    <row r="89" spans="1:13" ht="12.75" customHeight="1">
      <c r="A89" s="41" t="s">
        <v>1578</v>
      </c>
      <c r="B89" s="25" t="s">
        <v>1579</v>
      </c>
      <c r="C89" s="136">
        <f t="shared" si="4"/>
        <v>750000</v>
      </c>
      <c r="D89" s="136">
        <f t="shared" si="1"/>
        <v>1000000</v>
      </c>
      <c r="E89" s="136">
        <f t="shared" si="1"/>
        <v>1500000</v>
      </c>
      <c r="F89" s="136">
        <f t="shared" si="1"/>
        <v>2000000</v>
      </c>
      <c r="G89" s="136">
        <f t="shared" si="1"/>
        <v>2500000</v>
      </c>
      <c r="H89" s="418">
        <f t="shared" si="5"/>
        <v>3000000</v>
      </c>
      <c r="I89" s="691">
        <v>360</v>
      </c>
      <c r="K89" s="30">
        <v>0.8</v>
      </c>
      <c r="L89" s="700">
        <v>0.95</v>
      </c>
      <c r="M89" s="431" t="s">
        <v>330</v>
      </c>
    </row>
    <row r="90" spans="1:13" ht="12.75" customHeight="1">
      <c r="A90" s="41" t="s">
        <v>1580</v>
      </c>
      <c r="B90" s="25" t="s">
        <v>1581</v>
      </c>
      <c r="C90" s="136">
        <f t="shared" si="4"/>
        <v>750000</v>
      </c>
      <c r="D90" s="136">
        <f t="shared" si="1"/>
        <v>1000000</v>
      </c>
      <c r="E90" s="136">
        <f t="shared" si="1"/>
        <v>1500000</v>
      </c>
      <c r="F90" s="136">
        <f t="shared" si="1"/>
        <v>2000000</v>
      </c>
      <c r="G90" s="136">
        <f t="shared" si="1"/>
        <v>2500000</v>
      </c>
      <c r="H90" s="418">
        <f t="shared" si="5"/>
        <v>3000000</v>
      </c>
      <c r="I90" s="691">
        <v>360</v>
      </c>
      <c r="K90" s="30">
        <v>0.8</v>
      </c>
      <c r="L90" s="700">
        <v>0.95</v>
      </c>
      <c r="M90" s="431" t="s">
        <v>330</v>
      </c>
    </row>
    <row r="91" spans="1:13" ht="12.75" customHeight="1">
      <c r="A91" s="41" t="s">
        <v>1582</v>
      </c>
      <c r="B91" s="25" t="s">
        <v>1583</v>
      </c>
      <c r="C91" s="136">
        <f t="shared" si="4"/>
        <v>750000</v>
      </c>
      <c r="D91" s="136">
        <f t="shared" si="1"/>
        <v>1000000</v>
      </c>
      <c r="E91" s="136">
        <f t="shared" si="1"/>
        <v>1500000</v>
      </c>
      <c r="F91" s="136">
        <f t="shared" si="1"/>
        <v>2000000</v>
      </c>
      <c r="G91" s="136">
        <f t="shared" si="1"/>
        <v>2500000</v>
      </c>
      <c r="H91" s="418">
        <f t="shared" si="5"/>
        <v>3000000</v>
      </c>
      <c r="I91" s="691">
        <v>360</v>
      </c>
      <c r="K91" s="30">
        <v>0.8</v>
      </c>
      <c r="L91" s="700"/>
      <c r="M91" s="431" t="s">
        <v>330</v>
      </c>
    </row>
    <row r="92" spans="1:13" ht="12.75" customHeight="1">
      <c r="A92" s="41" t="s">
        <v>1584</v>
      </c>
      <c r="B92" s="25" t="s">
        <v>1585</v>
      </c>
      <c r="C92" s="136">
        <f t="shared" si="4"/>
        <v>750000</v>
      </c>
      <c r="D92" s="136">
        <f t="shared" si="1"/>
        <v>1000000</v>
      </c>
      <c r="E92" s="136">
        <f t="shared" si="1"/>
        <v>1500000</v>
      </c>
      <c r="F92" s="136">
        <f t="shared" si="1"/>
        <v>2000000</v>
      </c>
      <c r="G92" s="136">
        <f t="shared" si="1"/>
        <v>2500000</v>
      </c>
      <c r="H92" s="418">
        <f t="shared" si="5"/>
        <v>3000000</v>
      </c>
      <c r="I92" s="691">
        <v>360</v>
      </c>
      <c r="K92" s="30">
        <v>0.8</v>
      </c>
      <c r="L92" s="700">
        <v>0.9</v>
      </c>
      <c r="M92" s="431" t="s">
        <v>330</v>
      </c>
    </row>
    <row r="93" spans="1:13" ht="12.75" customHeight="1">
      <c r="A93" s="41" t="s">
        <v>1586</v>
      </c>
      <c r="B93" s="25" t="s">
        <v>1587</v>
      </c>
      <c r="C93" s="136">
        <f t="shared" si="4"/>
        <v>750000</v>
      </c>
      <c r="D93" s="136">
        <f t="shared" si="1"/>
        <v>1000000</v>
      </c>
      <c r="E93" s="136">
        <f t="shared" si="1"/>
        <v>1500000</v>
      </c>
      <c r="F93" s="136">
        <f t="shared" si="1"/>
        <v>2000000</v>
      </c>
      <c r="G93" s="136">
        <f t="shared" si="1"/>
        <v>2500000</v>
      </c>
      <c r="H93" s="418">
        <f t="shared" si="5"/>
        <v>3000000</v>
      </c>
      <c r="I93" s="691">
        <v>360</v>
      </c>
      <c r="K93" s="30">
        <v>0.8</v>
      </c>
      <c r="M93" s="431" t="s">
        <v>330</v>
      </c>
    </row>
    <row r="94" spans="1:13" ht="12.75" customHeight="1">
      <c r="A94" s="41" t="s">
        <v>1588</v>
      </c>
      <c r="B94" s="25" t="s">
        <v>1589</v>
      </c>
      <c r="C94" s="136">
        <f t="shared" ref="C94:C126" si="6">VLOOKUP($B94,ProductDLA,C$27,FALSE)</f>
        <v>750000</v>
      </c>
      <c r="D94" s="136">
        <f>VLOOKUP($B94,ProductDLA,D$27,FALSE)</f>
        <v>1000000</v>
      </c>
      <c r="E94" s="136">
        <f>VLOOKUP($B94,ProductDLA,E$27,FALSE)</f>
        <v>1500000</v>
      </c>
      <c r="F94" s="136">
        <f>VLOOKUP($B94,ProductDLA,F$27,FALSE)</f>
        <v>2000000</v>
      </c>
      <c r="G94" s="136">
        <f>VLOOKUP($B94,ProductDLA,G$27,FALSE)</f>
        <v>2500000</v>
      </c>
      <c r="H94" s="418">
        <f t="shared" si="5"/>
        <v>3000000</v>
      </c>
      <c r="I94" s="691">
        <v>360</v>
      </c>
      <c r="K94" s="30">
        <v>0.8</v>
      </c>
      <c r="L94" s="700">
        <v>0.9</v>
      </c>
      <c r="M94" s="431" t="s">
        <v>330</v>
      </c>
    </row>
    <row r="95" spans="1:13" ht="12.75" customHeight="1">
      <c r="A95" s="41" t="s">
        <v>1590</v>
      </c>
      <c r="B95" s="25" t="s">
        <v>1591</v>
      </c>
      <c r="C95" s="136">
        <f t="shared" si="6"/>
        <v>750000</v>
      </c>
      <c r="D95" s="136">
        <f t="shared" ref="D95:H103" si="7">VLOOKUP($B95,ProductDLA,D$27,FALSE)</f>
        <v>1000000</v>
      </c>
      <c r="E95" s="136">
        <f t="shared" si="7"/>
        <v>1500000</v>
      </c>
      <c r="F95" s="136">
        <f t="shared" si="7"/>
        <v>2000000</v>
      </c>
      <c r="G95" s="136">
        <f t="shared" si="7"/>
        <v>2500000</v>
      </c>
      <c r="H95" s="418">
        <f t="shared" si="7"/>
        <v>3000000</v>
      </c>
      <c r="I95" s="691">
        <v>360</v>
      </c>
      <c r="K95" s="30">
        <v>0.8</v>
      </c>
      <c r="L95" s="700">
        <v>0.9</v>
      </c>
      <c r="M95" s="431" t="s">
        <v>330</v>
      </c>
    </row>
    <row r="96" spans="1:13" ht="12.75" customHeight="1">
      <c r="A96" s="41" t="s">
        <v>1592</v>
      </c>
      <c r="B96" s="25" t="s">
        <v>1593</v>
      </c>
      <c r="C96" s="136">
        <f t="shared" si="6"/>
        <v>750000</v>
      </c>
      <c r="D96" s="136">
        <f t="shared" si="7"/>
        <v>1000000</v>
      </c>
      <c r="E96" s="136">
        <f t="shared" si="7"/>
        <v>1500000</v>
      </c>
      <c r="F96" s="136">
        <f t="shared" si="7"/>
        <v>2000000</v>
      </c>
      <c r="G96" s="136">
        <f t="shared" si="7"/>
        <v>2500000</v>
      </c>
      <c r="H96" s="418">
        <f t="shared" si="7"/>
        <v>3000000</v>
      </c>
      <c r="I96" s="691">
        <v>360</v>
      </c>
      <c r="K96" s="30">
        <v>0.8</v>
      </c>
      <c r="L96" s="700">
        <v>0.9</v>
      </c>
      <c r="M96" s="431" t="s">
        <v>330</v>
      </c>
    </row>
    <row r="97" spans="1:13" ht="12.75" customHeight="1">
      <c r="A97" s="41" t="s">
        <v>1594</v>
      </c>
      <c r="B97" s="25" t="s">
        <v>1595</v>
      </c>
      <c r="C97" s="136">
        <f t="shared" si="6"/>
        <v>750000</v>
      </c>
      <c r="D97" s="136">
        <f t="shared" si="7"/>
        <v>1000000</v>
      </c>
      <c r="E97" s="136">
        <f t="shared" si="7"/>
        <v>1500000</v>
      </c>
      <c r="F97" s="136">
        <f t="shared" si="7"/>
        <v>2000000</v>
      </c>
      <c r="G97" s="136">
        <f t="shared" si="7"/>
        <v>2500000</v>
      </c>
      <c r="H97" s="418">
        <f t="shared" si="7"/>
        <v>3000000</v>
      </c>
      <c r="I97" s="691">
        <v>360</v>
      </c>
      <c r="K97" s="30">
        <v>0.8</v>
      </c>
      <c r="L97" s="700">
        <v>0.9</v>
      </c>
      <c r="M97" s="431" t="s">
        <v>330</v>
      </c>
    </row>
    <row r="98" spans="1:13" ht="12.75" customHeight="1">
      <c r="A98" s="41" t="s">
        <v>1596</v>
      </c>
      <c r="B98" s="25" t="s">
        <v>1597</v>
      </c>
      <c r="C98" s="136">
        <f t="shared" si="6"/>
        <v>750000</v>
      </c>
      <c r="D98" s="136">
        <f t="shared" si="7"/>
        <v>1000000</v>
      </c>
      <c r="E98" s="136">
        <f t="shared" si="7"/>
        <v>1500000</v>
      </c>
      <c r="F98" s="136">
        <f t="shared" si="7"/>
        <v>2000000</v>
      </c>
      <c r="G98" s="136">
        <f t="shared" si="7"/>
        <v>2500000</v>
      </c>
      <c r="H98" s="418">
        <f t="shared" si="7"/>
        <v>3000000</v>
      </c>
      <c r="I98" s="691">
        <v>360</v>
      </c>
      <c r="K98" s="30">
        <v>0.8</v>
      </c>
      <c r="L98" s="700">
        <v>0.9</v>
      </c>
      <c r="M98" s="431" t="s">
        <v>330</v>
      </c>
    </row>
    <row r="99" spans="1:13" ht="12.75" customHeight="1">
      <c r="A99" s="41" t="s">
        <v>1598</v>
      </c>
      <c r="B99" s="25" t="s">
        <v>1599</v>
      </c>
      <c r="C99" s="136">
        <f t="shared" si="6"/>
        <v>750000</v>
      </c>
      <c r="D99" s="136">
        <f t="shared" si="7"/>
        <v>1000000</v>
      </c>
      <c r="E99" s="136">
        <f t="shared" si="7"/>
        <v>1500000</v>
      </c>
      <c r="F99" s="136">
        <f t="shared" si="7"/>
        <v>2000000</v>
      </c>
      <c r="G99" s="136">
        <f t="shared" si="7"/>
        <v>2500000</v>
      </c>
      <c r="H99" s="418">
        <f t="shared" si="7"/>
        <v>3000000</v>
      </c>
      <c r="I99" s="691">
        <v>360</v>
      </c>
      <c r="K99" s="30">
        <v>0.8</v>
      </c>
      <c r="L99" s="700">
        <v>0.9</v>
      </c>
      <c r="M99" s="431" t="s">
        <v>330</v>
      </c>
    </row>
    <row r="100" spans="1:13" ht="12.75" customHeight="1">
      <c r="A100" s="41" t="s">
        <v>1600</v>
      </c>
      <c r="B100" s="25" t="s">
        <v>1601</v>
      </c>
      <c r="C100" s="136">
        <f t="shared" si="6"/>
        <v>750000</v>
      </c>
      <c r="D100" s="136">
        <f t="shared" si="7"/>
        <v>1000000</v>
      </c>
      <c r="E100" s="136">
        <f t="shared" si="7"/>
        <v>1500000</v>
      </c>
      <c r="F100" s="136">
        <f t="shared" si="7"/>
        <v>2000000</v>
      </c>
      <c r="G100" s="136">
        <f t="shared" si="7"/>
        <v>2500000</v>
      </c>
      <c r="H100" s="418">
        <f t="shared" si="7"/>
        <v>3000000</v>
      </c>
      <c r="I100" s="691">
        <v>360</v>
      </c>
      <c r="K100" s="30">
        <v>0.8</v>
      </c>
      <c r="L100" s="700">
        <v>0.9</v>
      </c>
      <c r="M100" s="431" t="s">
        <v>330</v>
      </c>
    </row>
    <row r="101" spans="1:13" ht="12.75" customHeight="1">
      <c r="A101" s="41" t="s">
        <v>1602</v>
      </c>
      <c r="B101" s="25" t="s">
        <v>1603</v>
      </c>
      <c r="C101" s="136">
        <f t="shared" si="6"/>
        <v>750000</v>
      </c>
      <c r="D101" s="136">
        <f t="shared" si="7"/>
        <v>1000000</v>
      </c>
      <c r="E101" s="136">
        <f t="shared" si="7"/>
        <v>1500000</v>
      </c>
      <c r="F101" s="136">
        <f t="shared" si="7"/>
        <v>2000000</v>
      </c>
      <c r="G101" s="136">
        <f t="shared" si="7"/>
        <v>2500000</v>
      </c>
      <c r="H101" s="418">
        <f t="shared" si="7"/>
        <v>3000000</v>
      </c>
      <c r="I101" s="691">
        <v>360</v>
      </c>
      <c r="K101" s="30">
        <v>0.8</v>
      </c>
      <c r="L101" s="700">
        <v>0.9</v>
      </c>
      <c r="M101" s="431" t="s">
        <v>330</v>
      </c>
    </row>
    <row r="102" spans="1:13" ht="12.75" customHeight="1">
      <c r="A102" s="41" t="s">
        <v>1604</v>
      </c>
      <c r="B102" s="25" t="s">
        <v>1605</v>
      </c>
      <c r="C102" s="136">
        <f t="shared" si="6"/>
        <v>750000</v>
      </c>
      <c r="D102" s="136">
        <f t="shared" si="7"/>
        <v>1000000</v>
      </c>
      <c r="E102" s="136">
        <f t="shared" si="7"/>
        <v>1500000</v>
      </c>
      <c r="F102" s="136">
        <f t="shared" si="7"/>
        <v>2000000</v>
      </c>
      <c r="G102" s="136">
        <f t="shared" si="7"/>
        <v>2500000</v>
      </c>
      <c r="H102" s="418">
        <f t="shared" si="7"/>
        <v>3000000</v>
      </c>
      <c r="I102" s="691">
        <v>360</v>
      </c>
      <c r="K102" s="30">
        <v>0.8</v>
      </c>
      <c r="L102" s="700">
        <v>0.9</v>
      </c>
      <c r="M102" s="431" t="s">
        <v>330</v>
      </c>
    </row>
    <row r="103" spans="1:13" ht="12.75" customHeight="1">
      <c r="A103" s="41" t="s">
        <v>1606</v>
      </c>
      <c r="B103" s="25" t="s">
        <v>1607</v>
      </c>
      <c r="C103" s="136">
        <f t="shared" si="6"/>
        <v>750000</v>
      </c>
      <c r="D103" s="136">
        <f t="shared" si="7"/>
        <v>1000000</v>
      </c>
      <c r="E103" s="136">
        <f t="shared" si="7"/>
        <v>1500000</v>
      </c>
      <c r="F103" s="136">
        <f t="shared" si="7"/>
        <v>2000000</v>
      </c>
      <c r="G103" s="136">
        <f t="shared" si="7"/>
        <v>2500000</v>
      </c>
      <c r="H103" s="418">
        <f t="shared" si="7"/>
        <v>3000000</v>
      </c>
      <c r="I103" s="691">
        <v>360</v>
      </c>
      <c r="K103" s="30">
        <v>0.8</v>
      </c>
      <c r="L103" s="700">
        <v>0.9</v>
      </c>
      <c r="M103" s="431" t="s">
        <v>330</v>
      </c>
    </row>
    <row r="104" spans="1:13" ht="12.75" customHeight="1">
      <c r="A104" s="18" t="s">
        <v>1422</v>
      </c>
      <c r="B104" s="23" t="s">
        <v>152</v>
      </c>
      <c r="C104" s="136">
        <f t="shared" si="6"/>
        <v>750000</v>
      </c>
      <c r="D104" s="136">
        <f t="shared" ref="D104:K104" si="8">VLOOKUP($B104,ProductDLA,D$27,FALSE)</f>
        <v>1000000</v>
      </c>
      <c r="E104" s="136">
        <f t="shared" si="8"/>
        <v>1500000</v>
      </c>
      <c r="F104" s="136">
        <f t="shared" si="8"/>
        <v>2000000</v>
      </c>
      <c r="G104" s="136">
        <f t="shared" si="8"/>
        <v>2500000</v>
      </c>
      <c r="H104" s="418">
        <f t="shared" si="8"/>
        <v>3000000</v>
      </c>
      <c r="I104" s="692">
        <f t="shared" si="8"/>
        <v>360</v>
      </c>
      <c r="J104" s="685">
        <f t="shared" si="8"/>
        <v>0</v>
      </c>
      <c r="K104" s="685">
        <f t="shared" si="8"/>
        <v>0.8</v>
      </c>
      <c r="L104" s="700">
        <v>0.95</v>
      </c>
      <c r="M104" s="431" t="s">
        <v>330</v>
      </c>
    </row>
    <row r="105" spans="1:13" ht="12.75" customHeight="1">
      <c r="A105" s="18" t="s">
        <v>1416</v>
      </c>
      <c r="B105" s="18" t="s">
        <v>152</v>
      </c>
      <c r="C105" s="136">
        <f t="shared" si="6"/>
        <v>750000</v>
      </c>
      <c r="D105" s="136">
        <f t="shared" ref="D105:D114" si="9">VLOOKUP($B105,ProductDLA,D$27,FALSE)</f>
        <v>1000000</v>
      </c>
      <c r="E105" s="136">
        <f t="shared" ref="E105:K114" si="10">VLOOKUP($B105,ProductDLA,E$27,FALSE)</f>
        <v>1500000</v>
      </c>
      <c r="F105" s="136">
        <f t="shared" si="10"/>
        <v>2000000</v>
      </c>
      <c r="G105" s="136">
        <f t="shared" si="10"/>
        <v>2500000</v>
      </c>
      <c r="H105" s="418">
        <f t="shared" si="10"/>
        <v>3000000</v>
      </c>
      <c r="I105" s="692">
        <f t="shared" si="10"/>
        <v>360</v>
      </c>
      <c r="J105" s="685">
        <f t="shared" si="10"/>
        <v>0</v>
      </c>
      <c r="K105" s="685">
        <f t="shared" si="10"/>
        <v>0.8</v>
      </c>
      <c r="L105" s="700">
        <v>0.9</v>
      </c>
      <c r="M105" s="431" t="s">
        <v>330</v>
      </c>
    </row>
    <row r="106" spans="1:13" ht="12.75" customHeight="1">
      <c r="A106" s="18" t="s">
        <v>151</v>
      </c>
      <c r="B106" s="18" t="s">
        <v>152</v>
      </c>
      <c r="C106" s="136">
        <f t="shared" si="6"/>
        <v>750000</v>
      </c>
      <c r="D106" s="136">
        <f t="shared" si="9"/>
        <v>1000000</v>
      </c>
      <c r="E106" s="136">
        <f t="shared" si="10"/>
        <v>1500000</v>
      </c>
      <c r="F106" s="136">
        <f t="shared" si="10"/>
        <v>2000000</v>
      </c>
      <c r="G106" s="136">
        <f t="shared" si="10"/>
        <v>2500000</v>
      </c>
      <c r="H106" s="418">
        <f t="shared" si="10"/>
        <v>3000000</v>
      </c>
      <c r="I106" s="692">
        <f t="shared" si="10"/>
        <v>360</v>
      </c>
      <c r="J106" s="685">
        <f t="shared" si="10"/>
        <v>0</v>
      </c>
      <c r="K106" s="685">
        <f t="shared" si="10"/>
        <v>0.8</v>
      </c>
      <c r="L106" s="700">
        <v>0.8</v>
      </c>
      <c r="M106" s="431" t="s">
        <v>330</v>
      </c>
    </row>
    <row r="107" spans="1:13" ht="12.75" customHeight="1">
      <c r="A107" s="18" t="s">
        <v>153</v>
      </c>
      <c r="B107" s="18" t="s">
        <v>154</v>
      </c>
      <c r="C107" s="136">
        <f t="shared" si="6"/>
        <v>750000</v>
      </c>
      <c r="D107" s="136">
        <f t="shared" si="9"/>
        <v>1000000</v>
      </c>
      <c r="E107" s="136">
        <f t="shared" si="10"/>
        <v>1500000</v>
      </c>
      <c r="F107" s="136">
        <f t="shared" si="10"/>
        <v>2000000</v>
      </c>
      <c r="G107" s="136">
        <f t="shared" si="10"/>
        <v>2500000</v>
      </c>
      <c r="H107" s="418">
        <f t="shared" si="10"/>
        <v>3000000</v>
      </c>
      <c r="I107" s="692">
        <f t="shared" si="10"/>
        <v>360</v>
      </c>
      <c r="J107" s="685">
        <f t="shared" si="10"/>
        <v>0</v>
      </c>
      <c r="K107" s="685">
        <f t="shared" si="10"/>
        <v>0.8</v>
      </c>
      <c r="L107" s="700">
        <v>0.95</v>
      </c>
      <c r="M107" s="431" t="s">
        <v>330</v>
      </c>
    </row>
    <row r="108" spans="1:13" ht="12.75" customHeight="1">
      <c r="A108" s="18" t="s">
        <v>155</v>
      </c>
      <c r="B108" s="18" t="s">
        <v>156</v>
      </c>
      <c r="C108" s="136">
        <f t="shared" si="6"/>
        <v>750000</v>
      </c>
      <c r="D108" s="136">
        <f t="shared" si="9"/>
        <v>1000000</v>
      </c>
      <c r="E108" s="136">
        <f t="shared" si="10"/>
        <v>1500000</v>
      </c>
      <c r="F108" s="136">
        <f t="shared" si="10"/>
        <v>2000000</v>
      </c>
      <c r="G108" s="136">
        <f t="shared" si="10"/>
        <v>2500000</v>
      </c>
      <c r="H108" s="418">
        <f t="shared" si="10"/>
        <v>3000000</v>
      </c>
      <c r="I108" s="692">
        <f t="shared" si="10"/>
        <v>360</v>
      </c>
      <c r="J108" s="685">
        <f t="shared" si="10"/>
        <v>0</v>
      </c>
      <c r="K108" s="685">
        <f t="shared" si="10"/>
        <v>0.8</v>
      </c>
      <c r="L108" s="700">
        <v>0.95</v>
      </c>
      <c r="M108" s="431" t="s">
        <v>330</v>
      </c>
    </row>
    <row r="109" spans="1:13" ht="12.75" customHeight="1">
      <c r="A109" s="25" t="s">
        <v>157</v>
      </c>
      <c r="B109" s="25" t="s">
        <v>158</v>
      </c>
      <c r="C109" s="136">
        <f t="shared" si="6"/>
        <v>750000</v>
      </c>
      <c r="D109" s="136">
        <f t="shared" si="9"/>
        <v>1000000</v>
      </c>
      <c r="E109" s="136">
        <f t="shared" si="10"/>
        <v>1500000</v>
      </c>
      <c r="F109" s="136">
        <f t="shared" si="10"/>
        <v>2000000</v>
      </c>
      <c r="G109" s="136">
        <f t="shared" si="10"/>
        <v>2500000</v>
      </c>
      <c r="H109" s="418">
        <f t="shared" si="10"/>
        <v>3000000</v>
      </c>
      <c r="I109" s="692">
        <f t="shared" si="10"/>
        <v>360</v>
      </c>
      <c r="J109" s="685">
        <f t="shared" si="10"/>
        <v>0</v>
      </c>
      <c r="K109" s="685">
        <f t="shared" si="10"/>
        <v>0.8</v>
      </c>
      <c r="L109" s="700">
        <v>0.95</v>
      </c>
      <c r="M109" s="431" t="s">
        <v>330</v>
      </c>
    </row>
    <row r="110" spans="1:13" ht="12.75" customHeight="1">
      <c r="A110" s="25" t="s">
        <v>159</v>
      </c>
      <c r="B110" s="25" t="s">
        <v>160</v>
      </c>
      <c r="C110" s="136">
        <f t="shared" si="6"/>
        <v>750000</v>
      </c>
      <c r="D110" s="136">
        <f t="shared" si="9"/>
        <v>1000000</v>
      </c>
      <c r="E110" s="136">
        <f t="shared" si="10"/>
        <v>1500000</v>
      </c>
      <c r="F110" s="136">
        <f t="shared" si="10"/>
        <v>2000000</v>
      </c>
      <c r="G110" s="136">
        <f t="shared" si="10"/>
        <v>2500000</v>
      </c>
      <c r="H110" s="418">
        <f t="shared" si="10"/>
        <v>3000000</v>
      </c>
      <c r="I110" s="692">
        <f t="shared" si="10"/>
        <v>360</v>
      </c>
      <c r="J110" s="685">
        <f t="shared" si="10"/>
        <v>0</v>
      </c>
      <c r="K110" s="685">
        <f t="shared" si="10"/>
        <v>0.8</v>
      </c>
      <c r="L110" s="700">
        <v>0.95</v>
      </c>
      <c r="M110" s="431" t="s">
        <v>330</v>
      </c>
    </row>
    <row r="111" spans="1:13" ht="12.75" customHeight="1">
      <c r="A111" s="25" t="s">
        <v>161</v>
      </c>
      <c r="B111" s="25" t="s">
        <v>162</v>
      </c>
      <c r="C111" s="136">
        <f t="shared" si="6"/>
        <v>750000</v>
      </c>
      <c r="D111" s="136">
        <f t="shared" si="9"/>
        <v>1000000</v>
      </c>
      <c r="E111" s="136">
        <f t="shared" si="10"/>
        <v>1500000</v>
      </c>
      <c r="F111" s="136">
        <f t="shared" si="10"/>
        <v>2000000</v>
      </c>
      <c r="G111" s="136">
        <f t="shared" si="10"/>
        <v>2500000</v>
      </c>
      <c r="H111" s="418">
        <f t="shared" si="10"/>
        <v>3000000</v>
      </c>
      <c r="I111" s="692">
        <f t="shared" si="10"/>
        <v>360</v>
      </c>
      <c r="J111" s="685">
        <f t="shared" si="10"/>
        <v>0</v>
      </c>
      <c r="K111" s="685">
        <f t="shared" si="10"/>
        <v>0.8</v>
      </c>
      <c r="L111" s="700">
        <v>0.95</v>
      </c>
      <c r="M111" s="431" t="s">
        <v>330</v>
      </c>
    </row>
    <row r="112" spans="1:13" ht="12.75" customHeight="1">
      <c r="A112" s="25" t="s">
        <v>163</v>
      </c>
      <c r="B112" s="25" t="s">
        <v>164</v>
      </c>
      <c r="C112" s="136">
        <f t="shared" si="6"/>
        <v>750000</v>
      </c>
      <c r="D112" s="136">
        <f t="shared" si="9"/>
        <v>1000000</v>
      </c>
      <c r="E112" s="136">
        <f t="shared" si="10"/>
        <v>1500000</v>
      </c>
      <c r="F112" s="136">
        <f t="shared" si="10"/>
        <v>2000000</v>
      </c>
      <c r="G112" s="136">
        <f t="shared" si="10"/>
        <v>2500000</v>
      </c>
      <c r="H112" s="418">
        <f t="shared" si="10"/>
        <v>3000000</v>
      </c>
      <c r="I112" s="692">
        <f t="shared" si="10"/>
        <v>360</v>
      </c>
      <c r="J112" s="685">
        <f t="shared" si="10"/>
        <v>0</v>
      </c>
      <c r="K112" s="685">
        <f t="shared" si="10"/>
        <v>0.8</v>
      </c>
      <c r="L112" s="700">
        <v>0.95</v>
      </c>
      <c r="M112" s="431" t="s">
        <v>330</v>
      </c>
    </row>
    <row r="113" spans="1:13" ht="12.75" customHeight="1">
      <c r="A113" s="25" t="s">
        <v>165</v>
      </c>
      <c r="B113" s="25" t="s">
        <v>166</v>
      </c>
      <c r="C113" s="136">
        <f t="shared" si="6"/>
        <v>750000</v>
      </c>
      <c r="D113" s="136">
        <f t="shared" si="9"/>
        <v>1000000</v>
      </c>
      <c r="E113" s="136">
        <f t="shared" si="10"/>
        <v>1500000</v>
      </c>
      <c r="F113" s="136">
        <f t="shared" si="10"/>
        <v>2000000</v>
      </c>
      <c r="G113" s="136">
        <f t="shared" si="10"/>
        <v>2500000</v>
      </c>
      <c r="H113" s="418">
        <f t="shared" si="10"/>
        <v>3000000</v>
      </c>
      <c r="I113" s="692">
        <f t="shared" si="10"/>
        <v>360</v>
      </c>
      <c r="J113" s="685">
        <f t="shared" si="10"/>
        <v>0</v>
      </c>
      <c r="K113" s="685">
        <f t="shared" si="10"/>
        <v>0.8</v>
      </c>
      <c r="L113" s="700">
        <v>0.9</v>
      </c>
      <c r="M113" s="431" t="s">
        <v>330</v>
      </c>
    </row>
    <row r="114" spans="1:13" ht="12.75" customHeight="1">
      <c r="A114" s="25" t="s">
        <v>167</v>
      </c>
      <c r="B114" s="25" t="s">
        <v>168</v>
      </c>
      <c r="C114" s="136">
        <f t="shared" si="6"/>
        <v>750000</v>
      </c>
      <c r="D114" s="136">
        <f t="shared" si="9"/>
        <v>1000000</v>
      </c>
      <c r="E114" s="136">
        <f t="shared" si="10"/>
        <v>1500000</v>
      </c>
      <c r="F114" s="136">
        <f t="shared" si="10"/>
        <v>2000000</v>
      </c>
      <c r="G114" s="136">
        <f t="shared" si="10"/>
        <v>2500000</v>
      </c>
      <c r="H114" s="418">
        <f t="shared" si="10"/>
        <v>3000000</v>
      </c>
      <c r="I114" s="692">
        <f t="shared" si="10"/>
        <v>360</v>
      </c>
      <c r="J114" s="685">
        <f t="shared" si="10"/>
        <v>0</v>
      </c>
      <c r="K114" s="685">
        <f t="shared" si="10"/>
        <v>0.8</v>
      </c>
      <c r="L114" s="700">
        <v>0.9</v>
      </c>
      <c r="M114" s="431" t="s">
        <v>330</v>
      </c>
    </row>
    <row r="115" spans="1:13" ht="12.75" customHeight="1">
      <c r="A115" s="18" t="s">
        <v>169</v>
      </c>
      <c r="B115" s="18" t="s">
        <v>170</v>
      </c>
      <c r="C115" s="136">
        <f t="shared" si="6"/>
        <v>750000</v>
      </c>
      <c r="D115" s="136">
        <f t="shared" ref="D115:D126" si="11">VLOOKUP($B115,ProductDLA,D$27,FALSE)</f>
        <v>1000000</v>
      </c>
      <c r="E115" s="136">
        <f t="shared" ref="E115:K126" si="12">VLOOKUP($B115,ProductDLA,E$27,FALSE)</f>
        <v>1500000</v>
      </c>
      <c r="F115" s="136">
        <f t="shared" si="12"/>
        <v>2000000</v>
      </c>
      <c r="G115" s="136">
        <f t="shared" si="12"/>
        <v>2500000</v>
      </c>
      <c r="H115" s="418">
        <f t="shared" si="12"/>
        <v>3000000</v>
      </c>
      <c r="I115" s="692">
        <f t="shared" si="12"/>
        <v>360</v>
      </c>
      <c r="J115" s="685">
        <f t="shared" si="12"/>
        <v>0</v>
      </c>
      <c r="K115" s="685">
        <f t="shared" si="12"/>
        <v>0.8</v>
      </c>
      <c r="L115" s="700">
        <v>0.9</v>
      </c>
      <c r="M115" s="431" t="s">
        <v>330</v>
      </c>
    </row>
    <row r="116" spans="1:13" ht="12.75" customHeight="1">
      <c r="A116" s="18" t="s">
        <v>171</v>
      </c>
      <c r="B116" s="18" t="s">
        <v>172</v>
      </c>
      <c r="C116" s="136">
        <f t="shared" si="6"/>
        <v>750000</v>
      </c>
      <c r="D116" s="136">
        <f t="shared" si="11"/>
        <v>1000000</v>
      </c>
      <c r="E116" s="136">
        <f t="shared" si="12"/>
        <v>1500000</v>
      </c>
      <c r="F116" s="136">
        <f t="shared" si="12"/>
        <v>2000000</v>
      </c>
      <c r="G116" s="136">
        <f t="shared" si="12"/>
        <v>2500000</v>
      </c>
      <c r="H116" s="418">
        <f t="shared" si="12"/>
        <v>3000000</v>
      </c>
      <c r="I116" s="692">
        <f t="shared" si="12"/>
        <v>360</v>
      </c>
      <c r="J116" s="685">
        <f t="shared" si="12"/>
        <v>0</v>
      </c>
      <c r="K116" s="685">
        <f t="shared" si="12"/>
        <v>0.8</v>
      </c>
      <c r="L116" s="700">
        <v>0.9</v>
      </c>
      <c r="M116" s="431" t="s">
        <v>330</v>
      </c>
    </row>
    <row r="117" spans="1:13" ht="12.75" customHeight="1">
      <c r="A117" s="25" t="s">
        <v>173</v>
      </c>
      <c r="B117" s="25" t="s">
        <v>174</v>
      </c>
      <c r="C117" s="136">
        <f t="shared" si="6"/>
        <v>750000</v>
      </c>
      <c r="D117" s="136">
        <f t="shared" si="11"/>
        <v>1000000</v>
      </c>
      <c r="E117" s="136">
        <f t="shared" si="12"/>
        <v>1500000</v>
      </c>
      <c r="F117" s="136">
        <f t="shared" si="12"/>
        <v>2000000</v>
      </c>
      <c r="G117" s="136">
        <f t="shared" si="12"/>
        <v>2500000</v>
      </c>
      <c r="H117" s="418">
        <f t="shared" si="12"/>
        <v>3000000</v>
      </c>
      <c r="I117" s="692">
        <f t="shared" si="12"/>
        <v>360</v>
      </c>
      <c r="J117" s="685">
        <f t="shared" si="12"/>
        <v>0</v>
      </c>
      <c r="K117" s="685">
        <f t="shared" si="12"/>
        <v>0.8</v>
      </c>
      <c r="L117" s="700">
        <v>0.9</v>
      </c>
      <c r="M117" s="431" t="s">
        <v>330</v>
      </c>
    </row>
    <row r="118" spans="1:13" ht="12.75" customHeight="1">
      <c r="A118" s="25" t="s">
        <v>175</v>
      </c>
      <c r="B118" s="25" t="s">
        <v>176</v>
      </c>
      <c r="C118" s="136">
        <f t="shared" si="6"/>
        <v>750000</v>
      </c>
      <c r="D118" s="136">
        <f t="shared" si="11"/>
        <v>1000000</v>
      </c>
      <c r="E118" s="136">
        <f t="shared" si="12"/>
        <v>1500000</v>
      </c>
      <c r="F118" s="136">
        <f t="shared" si="12"/>
        <v>2000000</v>
      </c>
      <c r="G118" s="136">
        <f t="shared" si="12"/>
        <v>2500000</v>
      </c>
      <c r="H118" s="418">
        <f t="shared" si="12"/>
        <v>3000000</v>
      </c>
      <c r="I118" s="692">
        <f t="shared" si="12"/>
        <v>360</v>
      </c>
      <c r="J118" s="685">
        <f t="shared" si="12"/>
        <v>0</v>
      </c>
      <c r="K118" s="685">
        <f t="shared" si="12"/>
        <v>0.8</v>
      </c>
      <c r="L118" s="700">
        <v>0.9</v>
      </c>
      <c r="M118" s="431" t="s">
        <v>330</v>
      </c>
    </row>
    <row r="119" spans="1:13" ht="12.75" customHeight="1">
      <c r="A119" s="25" t="s">
        <v>177</v>
      </c>
      <c r="B119" s="25" t="s">
        <v>178</v>
      </c>
      <c r="C119" s="136">
        <f t="shared" si="6"/>
        <v>750000</v>
      </c>
      <c r="D119" s="136">
        <f t="shared" si="11"/>
        <v>1000000</v>
      </c>
      <c r="E119" s="136">
        <f t="shared" si="12"/>
        <v>1500000</v>
      </c>
      <c r="F119" s="136">
        <f t="shared" si="12"/>
        <v>2000000</v>
      </c>
      <c r="G119" s="136">
        <f t="shared" si="12"/>
        <v>2500000</v>
      </c>
      <c r="H119" s="418">
        <f t="shared" si="12"/>
        <v>3000000</v>
      </c>
      <c r="I119" s="692">
        <f t="shared" si="12"/>
        <v>360</v>
      </c>
      <c r="J119" s="685">
        <f t="shared" si="12"/>
        <v>0</v>
      </c>
      <c r="K119" s="685">
        <f t="shared" si="12"/>
        <v>0.8</v>
      </c>
      <c r="L119" s="700">
        <v>0.9</v>
      </c>
      <c r="M119" s="431" t="s">
        <v>330</v>
      </c>
    </row>
    <row r="120" spans="1:13" ht="12.75" customHeight="1">
      <c r="A120" s="25" t="s">
        <v>179</v>
      </c>
      <c r="B120" s="25" t="s">
        <v>180</v>
      </c>
      <c r="C120" s="136">
        <f t="shared" si="6"/>
        <v>750000</v>
      </c>
      <c r="D120" s="136">
        <f t="shared" si="11"/>
        <v>1000000</v>
      </c>
      <c r="E120" s="136">
        <f t="shared" si="12"/>
        <v>1500000</v>
      </c>
      <c r="F120" s="136">
        <f t="shared" si="12"/>
        <v>2000000</v>
      </c>
      <c r="G120" s="136">
        <f t="shared" si="12"/>
        <v>2500000</v>
      </c>
      <c r="H120" s="418">
        <f t="shared" si="12"/>
        <v>3000000</v>
      </c>
      <c r="I120" s="692">
        <f t="shared" si="12"/>
        <v>360</v>
      </c>
      <c r="J120" s="685">
        <f t="shared" si="12"/>
        <v>0</v>
      </c>
      <c r="K120" s="685">
        <f t="shared" si="12"/>
        <v>0.8</v>
      </c>
      <c r="L120" s="700">
        <v>0.9</v>
      </c>
      <c r="M120" s="431" t="s">
        <v>330</v>
      </c>
    </row>
    <row r="121" spans="1:13" ht="12.75" customHeight="1">
      <c r="A121" s="25" t="s">
        <v>181</v>
      </c>
      <c r="B121" s="25" t="s">
        <v>182</v>
      </c>
      <c r="C121" s="136">
        <f t="shared" si="6"/>
        <v>750000</v>
      </c>
      <c r="D121" s="136">
        <f t="shared" si="11"/>
        <v>1000000</v>
      </c>
      <c r="E121" s="136">
        <f t="shared" si="12"/>
        <v>1500000</v>
      </c>
      <c r="F121" s="136">
        <f t="shared" si="12"/>
        <v>2000000</v>
      </c>
      <c r="G121" s="136">
        <f t="shared" si="12"/>
        <v>2500000</v>
      </c>
      <c r="H121" s="418">
        <f t="shared" si="12"/>
        <v>3000000</v>
      </c>
      <c r="I121" s="692">
        <f t="shared" si="12"/>
        <v>360</v>
      </c>
      <c r="J121" s="685">
        <f t="shared" si="12"/>
        <v>0</v>
      </c>
      <c r="K121" s="685">
        <f t="shared" si="12"/>
        <v>0.8</v>
      </c>
      <c r="L121" s="700">
        <v>0.9</v>
      </c>
      <c r="M121" s="431" t="s">
        <v>330</v>
      </c>
    </row>
    <row r="122" spans="1:13" ht="12.75" customHeight="1">
      <c r="A122" s="25" t="s">
        <v>183</v>
      </c>
      <c r="B122" s="25" t="s">
        <v>184</v>
      </c>
      <c r="C122" s="136">
        <f t="shared" si="6"/>
        <v>750000</v>
      </c>
      <c r="D122" s="136">
        <f t="shared" si="11"/>
        <v>1000000</v>
      </c>
      <c r="E122" s="136">
        <f t="shared" si="12"/>
        <v>1500000</v>
      </c>
      <c r="F122" s="136">
        <f t="shared" si="12"/>
        <v>2000000</v>
      </c>
      <c r="G122" s="136">
        <f t="shared" si="12"/>
        <v>2500000</v>
      </c>
      <c r="H122" s="418">
        <f t="shared" si="12"/>
        <v>3000000</v>
      </c>
      <c r="I122" s="692">
        <f t="shared" si="12"/>
        <v>360</v>
      </c>
      <c r="J122" s="685">
        <f t="shared" si="12"/>
        <v>0</v>
      </c>
      <c r="K122" s="685">
        <f t="shared" si="12"/>
        <v>0.8</v>
      </c>
      <c r="L122" s="700">
        <v>0.9</v>
      </c>
      <c r="M122" s="431" t="s">
        <v>330</v>
      </c>
    </row>
    <row r="123" spans="1:13" ht="12.75" customHeight="1">
      <c r="A123" s="25" t="s">
        <v>185</v>
      </c>
      <c r="B123" s="25" t="s">
        <v>186</v>
      </c>
      <c r="C123" s="136">
        <f t="shared" si="6"/>
        <v>750000</v>
      </c>
      <c r="D123" s="136">
        <f t="shared" si="11"/>
        <v>1000000</v>
      </c>
      <c r="E123" s="136">
        <f t="shared" si="12"/>
        <v>1500000</v>
      </c>
      <c r="F123" s="136">
        <f t="shared" si="12"/>
        <v>2000000</v>
      </c>
      <c r="G123" s="136">
        <f t="shared" si="12"/>
        <v>2500000</v>
      </c>
      <c r="H123" s="418">
        <f t="shared" si="12"/>
        <v>3000000</v>
      </c>
      <c r="I123" s="692">
        <f t="shared" si="12"/>
        <v>360</v>
      </c>
      <c r="J123" s="685">
        <f t="shared" si="12"/>
        <v>0</v>
      </c>
      <c r="K123" s="685">
        <f t="shared" si="12"/>
        <v>0.8</v>
      </c>
      <c r="L123" s="700">
        <v>0.9</v>
      </c>
      <c r="M123" s="431" t="s">
        <v>330</v>
      </c>
    </row>
    <row r="124" spans="1:13" ht="12.75" customHeight="1">
      <c r="A124" s="25" t="s">
        <v>187</v>
      </c>
      <c r="B124" s="25" t="s">
        <v>188</v>
      </c>
      <c r="C124" s="136">
        <f t="shared" si="6"/>
        <v>750000</v>
      </c>
      <c r="D124" s="136">
        <f t="shared" si="11"/>
        <v>1000000</v>
      </c>
      <c r="E124" s="136">
        <f t="shared" si="12"/>
        <v>1500000</v>
      </c>
      <c r="F124" s="136">
        <f t="shared" si="12"/>
        <v>2000000</v>
      </c>
      <c r="G124" s="136">
        <f t="shared" si="12"/>
        <v>2500000</v>
      </c>
      <c r="H124" s="418">
        <f t="shared" si="12"/>
        <v>3000000</v>
      </c>
      <c r="I124" s="692">
        <f t="shared" si="12"/>
        <v>360</v>
      </c>
      <c r="J124" s="685">
        <f t="shared" si="12"/>
        <v>0</v>
      </c>
      <c r="K124" s="685">
        <f t="shared" si="12"/>
        <v>0.8</v>
      </c>
      <c r="L124" s="700">
        <v>0.9</v>
      </c>
      <c r="M124" s="431" t="s">
        <v>330</v>
      </c>
    </row>
    <row r="125" spans="1:13" ht="12.75" customHeight="1">
      <c r="A125" s="25" t="s">
        <v>189</v>
      </c>
      <c r="B125" s="25" t="s">
        <v>190</v>
      </c>
      <c r="C125" s="136">
        <f t="shared" si="6"/>
        <v>750000</v>
      </c>
      <c r="D125" s="136">
        <f t="shared" si="11"/>
        <v>1000000</v>
      </c>
      <c r="E125" s="136">
        <f t="shared" si="12"/>
        <v>1500000</v>
      </c>
      <c r="F125" s="136">
        <f t="shared" si="12"/>
        <v>2000000</v>
      </c>
      <c r="G125" s="136">
        <f t="shared" si="12"/>
        <v>2500000</v>
      </c>
      <c r="H125" s="418">
        <f t="shared" si="12"/>
        <v>3000000</v>
      </c>
      <c r="I125" s="692">
        <f t="shared" si="12"/>
        <v>360</v>
      </c>
      <c r="J125" s="685">
        <f t="shared" si="12"/>
        <v>0</v>
      </c>
      <c r="K125" s="685">
        <f t="shared" si="12"/>
        <v>0.8</v>
      </c>
      <c r="L125" s="700">
        <v>0.9</v>
      </c>
      <c r="M125" s="431" t="s">
        <v>330</v>
      </c>
    </row>
    <row r="126" spans="1:13" ht="12.75" customHeight="1">
      <c r="A126" s="25" t="s">
        <v>191</v>
      </c>
      <c r="B126" s="25" t="s">
        <v>192</v>
      </c>
      <c r="C126" s="136">
        <f t="shared" si="6"/>
        <v>750000</v>
      </c>
      <c r="D126" s="136">
        <f t="shared" si="11"/>
        <v>1000000</v>
      </c>
      <c r="E126" s="136">
        <f t="shared" si="12"/>
        <v>1500000</v>
      </c>
      <c r="F126" s="136">
        <f t="shared" si="12"/>
        <v>2000000</v>
      </c>
      <c r="G126" s="136">
        <f t="shared" si="12"/>
        <v>2500000</v>
      </c>
      <c r="H126" s="418">
        <f t="shared" si="12"/>
        <v>3000000</v>
      </c>
      <c r="I126" s="692">
        <f t="shared" si="12"/>
        <v>360</v>
      </c>
      <c r="J126" s="685">
        <f t="shared" si="12"/>
        <v>0</v>
      </c>
      <c r="K126" s="685" t="str">
        <f t="shared" si="12"/>
        <v>80%</v>
      </c>
      <c r="L126" s="700">
        <v>0.9</v>
      </c>
      <c r="M126" s="431" t="s">
        <v>330</v>
      </c>
    </row>
    <row r="127" spans="1:13" ht="12.75" customHeight="1">
      <c r="A127" s="25" t="s">
        <v>193</v>
      </c>
      <c r="B127" s="25"/>
      <c r="C127" s="136">
        <f>+Tables!C139</f>
        <v>750000</v>
      </c>
      <c r="D127" s="136">
        <f>+Tables!D139</f>
        <v>1000000</v>
      </c>
      <c r="E127" s="136">
        <f>+Tables!E139</f>
        <v>1500000</v>
      </c>
      <c r="F127" s="136">
        <f>+Tables!F139</f>
        <v>2000000</v>
      </c>
      <c r="G127" s="136">
        <v>2500000</v>
      </c>
      <c r="H127" s="680">
        <v>3000000</v>
      </c>
      <c r="J127" s="693"/>
    </row>
    <row r="128" spans="1:13" ht="12.75" customHeight="1">
      <c r="A128" s="25" t="s">
        <v>194</v>
      </c>
      <c r="B128" s="25"/>
      <c r="C128" s="334" t="e">
        <f>+Tables!C143</f>
        <v>#N/A</v>
      </c>
      <c r="D128" s="334" t="e">
        <f>+Tables!D143</f>
        <v>#N/A</v>
      </c>
      <c r="E128" s="334" t="e">
        <f>+Tables!E143</f>
        <v>#N/A</v>
      </c>
      <c r="F128" s="334" t="e">
        <f>+Tables!F143</f>
        <v>#N/A</v>
      </c>
      <c r="G128" s="334" t="e">
        <f>+Tables!G143</f>
        <v>#N/A</v>
      </c>
      <c r="J128" s="693"/>
    </row>
    <row r="129" spans="1:16" ht="12.75" customHeight="1">
      <c r="I129" s="693"/>
    </row>
    <row r="130" spans="1:16" ht="12.75" customHeight="1">
      <c r="A130" s="37" t="s">
        <v>195</v>
      </c>
      <c r="C130" s="402" t="s">
        <v>196</v>
      </c>
      <c r="D130" s="110" t="s">
        <v>42</v>
      </c>
      <c r="E130" s="439" t="str">
        <f>+Tables!E150</f>
        <v>IO Premium</v>
      </c>
      <c r="F130" s="660" t="s">
        <v>197</v>
      </c>
      <c r="G130" s="660" t="s">
        <v>1430</v>
      </c>
      <c r="H130" s="108" t="s">
        <v>1431</v>
      </c>
      <c r="I130" s="693"/>
    </row>
    <row r="131" spans="1:16" ht="12.75" customHeight="1">
      <c r="A131" s="37" t="s">
        <v>58</v>
      </c>
      <c r="C131" s="403">
        <f>+Tables!C151</f>
        <v>0.03</v>
      </c>
      <c r="D131" s="403">
        <f>+Tables!D151</f>
        <v>0.03</v>
      </c>
      <c r="E131" s="403">
        <f>+Tables!E151</f>
        <v>2E-3</v>
      </c>
      <c r="F131" s="661">
        <v>4.0000000000000001E-3</v>
      </c>
      <c r="G131" s="661">
        <v>-4.4999999999999997E-3</v>
      </c>
      <c r="H131" s="36">
        <v>1.5E-3</v>
      </c>
      <c r="I131" s="693"/>
    </row>
    <row r="132" spans="1:16" ht="12.75" customHeight="1">
      <c r="A132" s="37" t="s">
        <v>198</v>
      </c>
      <c r="C132" s="441">
        <f>+Tables!C152</f>
        <v>5.5E-2</v>
      </c>
      <c r="D132" s="441">
        <f>+Tables!D152</f>
        <v>7.4999999999999997E-2</v>
      </c>
      <c r="I132" s="693"/>
    </row>
    <row r="133" spans="1:16" ht="12.75" customHeight="1">
      <c r="A133" s="37" t="s">
        <v>199</v>
      </c>
      <c r="C133" s="441">
        <f>+Tables!C153</f>
        <v>0.03</v>
      </c>
      <c r="D133" s="441">
        <f>+Tables!D153</f>
        <v>0.04</v>
      </c>
      <c r="I133" s="693"/>
    </row>
    <row r="134" spans="1:16" ht="12.75" customHeight="1">
      <c r="I134" s="693"/>
    </row>
    <row r="135" spans="1:16" ht="12.75" customHeight="1">
      <c r="C135" s="35">
        <v>2</v>
      </c>
      <c r="D135" s="35">
        <v>3</v>
      </c>
      <c r="E135" s="35">
        <v>4</v>
      </c>
      <c r="F135" s="35">
        <v>5</v>
      </c>
      <c r="G135" s="35">
        <v>6</v>
      </c>
      <c r="H135" s="35">
        <v>7</v>
      </c>
      <c r="I135" s="693" t="s">
        <v>200</v>
      </c>
    </row>
    <row r="136" spans="1:16" ht="12.75" customHeight="1">
      <c r="A136" s="20" t="s">
        <v>201</v>
      </c>
      <c r="B136" s="20"/>
      <c r="C136" s="26" t="s">
        <v>202</v>
      </c>
      <c r="D136" s="107" t="s">
        <v>61</v>
      </c>
      <c r="E136" s="107" t="s">
        <v>42</v>
      </c>
      <c r="M136" s="435"/>
      <c r="N136" s="440"/>
      <c r="P136" s="36"/>
    </row>
    <row r="137" spans="1:16" ht="12.75" customHeight="1">
      <c r="A137" s="41" t="s">
        <v>1460</v>
      </c>
      <c r="B137" s="25" t="s">
        <v>1461</v>
      </c>
      <c r="C137" s="435">
        <f t="shared" ref="C137:E156" si="13">+VLOOKUP($B137,Product_IR,C$135,FALSE)</f>
        <v>5.2400000000000002E-2</v>
      </c>
      <c r="D137" s="107">
        <f t="shared" si="13"/>
        <v>8.2400000000000001E-2</v>
      </c>
      <c r="E137" s="107">
        <f t="shared" si="13"/>
        <v>8.2400000000000001E-2</v>
      </c>
      <c r="I137" s="35"/>
      <c r="M137" s="435"/>
      <c r="N137" s="440"/>
      <c r="P137" s="36"/>
    </row>
    <row r="138" spans="1:16" ht="12.75" customHeight="1">
      <c r="A138" s="41" t="s">
        <v>1462</v>
      </c>
      <c r="B138" s="25" t="s">
        <v>1463</v>
      </c>
      <c r="C138" s="435">
        <f t="shared" si="13"/>
        <v>5.3900000000000003E-2</v>
      </c>
      <c r="D138" s="107">
        <f t="shared" si="13"/>
        <v>8.3900000000000002E-2</v>
      </c>
      <c r="E138" s="107">
        <f t="shared" si="13"/>
        <v>8.3900000000000002E-2</v>
      </c>
      <c r="M138" s="435"/>
      <c r="N138" s="440"/>
      <c r="P138" s="36"/>
    </row>
    <row r="139" spans="1:16" ht="12.75" customHeight="1">
      <c r="A139" s="41" t="s">
        <v>1464</v>
      </c>
      <c r="B139" s="25" t="s">
        <v>1465</v>
      </c>
      <c r="C139" s="435">
        <f t="shared" si="13"/>
        <v>5.4899999999999997E-2</v>
      </c>
      <c r="D139" s="107">
        <f t="shared" si="13"/>
        <v>8.4900000000000003E-2</v>
      </c>
      <c r="E139" s="107">
        <f t="shared" si="13"/>
        <v>8.4900000000000003E-2</v>
      </c>
      <c r="M139" s="435"/>
      <c r="N139" s="440"/>
      <c r="P139" s="36"/>
    </row>
    <row r="140" spans="1:16" ht="12.75" customHeight="1">
      <c r="A140" s="41" t="s">
        <v>1466</v>
      </c>
      <c r="B140" s="25" t="s">
        <v>1467</v>
      </c>
      <c r="C140" s="435">
        <f t="shared" si="13"/>
        <v>5.2400000000000002E-2</v>
      </c>
      <c r="D140" s="107">
        <f t="shared" si="13"/>
        <v>8.2400000000000001E-2</v>
      </c>
      <c r="E140" s="107">
        <f t="shared" si="13"/>
        <v>8.2400000000000001E-2</v>
      </c>
      <c r="M140" s="435"/>
      <c r="N140" s="440"/>
      <c r="P140" s="36"/>
    </row>
    <row r="141" spans="1:16" ht="12.75" customHeight="1">
      <c r="A141" s="41" t="s">
        <v>1468</v>
      </c>
      <c r="B141" s="25" t="s">
        <v>1469</v>
      </c>
      <c r="C141" s="435">
        <f t="shared" si="13"/>
        <v>5.3900000000000003E-2</v>
      </c>
      <c r="D141" s="107">
        <f t="shared" si="13"/>
        <v>8.3900000000000002E-2</v>
      </c>
      <c r="E141" s="107">
        <f t="shared" si="13"/>
        <v>8.3900000000000002E-2</v>
      </c>
      <c r="M141" s="435"/>
      <c r="N141" s="440"/>
      <c r="P141" s="36"/>
    </row>
    <row r="142" spans="1:16" ht="12.75" customHeight="1">
      <c r="A142" s="41" t="s">
        <v>1470</v>
      </c>
      <c r="B142" s="25" t="s">
        <v>1471</v>
      </c>
      <c r="C142" s="435">
        <f t="shared" si="13"/>
        <v>5.4899999999999997E-2</v>
      </c>
      <c r="D142" s="107">
        <f t="shared" si="13"/>
        <v>8.4900000000000003E-2</v>
      </c>
      <c r="E142" s="107">
        <f t="shared" si="13"/>
        <v>8.4900000000000003E-2</v>
      </c>
      <c r="M142" s="435"/>
      <c r="N142" s="440"/>
      <c r="P142" s="36"/>
    </row>
    <row r="143" spans="1:16" ht="12.75" customHeight="1">
      <c r="A143" s="41" t="s">
        <v>1472</v>
      </c>
      <c r="B143" s="25" t="s">
        <v>1473</v>
      </c>
      <c r="C143" s="435">
        <f t="shared" si="13"/>
        <v>5.1400000000000001E-2</v>
      </c>
      <c r="D143" s="107">
        <f t="shared" si="13"/>
        <v>8.2400000000000001E-2</v>
      </c>
      <c r="E143" s="107">
        <f t="shared" si="13"/>
        <v>8.2400000000000001E-2</v>
      </c>
      <c r="M143" s="435"/>
      <c r="N143" s="440"/>
      <c r="P143" s="36"/>
    </row>
    <row r="144" spans="1:16" ht="12.75" customHeight="1">
      <c r="A144" s="41" t="s">
        <v>1474</v>
      </c>
      <c r="B144" s="25" t="s">
        <v>1475</v>
      </c>
      <c r="C144" s="435">
        <f t="shared" si="13"/>
        <v>5.1400000000000001E-2</v>
      </c>
      <c r="D144" s="107">
        <f t="shared" si="13"/>
        <v>8.2400000000000001E-2</v>
      </c>
      <c r="E144" s="107">
        <f t="shared" si="13"/>
        <v>8.2400000000000001E-2</v>
      </c>
      <c r="M144" s="435"/>
      <c r="N144" s="440"/>
      <c r="P144" s="36"/>
    </row>
    <row r="145" spans="1:16" ht="12.75" customHeight="1">
      <c r="A145" s="41" t="s">
        <v>1476</v>
      </c>
      <c r="B145" s="25" t="s">
        <v>1477</v>
      </c>
      <c r="C145" s="435">
        <f t="shared" si="13"/>
        <v>4.99E-2</v>
      </c>
      <c r="D145" s="107">
        <f t="shared" si="13"/>
        <v>8.2400000000000001E-2</v>
      </c>
      <c r="E145" s="107">
        <f t="shared" si="13"/>
        <v>8.2400000000000001E-2</v>
      </c>
      <c r="M145" s="435"/>
      <c r="N145" s="440"/>
      <c r="P145" s="36"/>
    </row>
    <row r="146" spans="1:16" ht="12.75" customHeight="1">
      <c r="A146" s="41" t="s">
        <v>1478</v>
      </c>
      <c r="B146" s="25" t="s">
        <v>1479</v>
      </c>
      <c r="C146" s="435">
        <f t="shared" si="13"/>
        <v>5.04E-2</v>
      </c>
      <c r="D146" s="107">
        <f t="shared" si="13"/>
        <v>8.2400000000000001E-2</v>
      </c>
      <c r="E146" s="107">
        <f t="shared" si="13"/>
        <v>8.2400000000000001E-2</v>
      </c>
      <c r="M146" s="435"/>
      <c r="N146" s="440"/>
      <c r="P146" s="36"/>
    </row>
    <row r="147" spans="1:16" ht="12.75" customHeight="1">
      <c r="A147" s="41" t="s">
        <v>1480</v>
      </c>
      <c r="B147" s="25" t="s">
        <v>1481</v>
      </c>
      <c r="C147" s="435">
        <f t="shared" si="13"/>
        <v>5.2900000000000003E-2</v>
      </c>
      <c r="D147" s="107">
        <f t="shared" si="13"/>
        <v>8.2400000000000001E-2</v>
      </c>
      <c r="E147" s="107">
        <f t="shared" si="13"/>
        <v>8.2400000000000001E-2</v>
      </c>
      <c r="M147" s="435"/>
      <c r="N147" s="440"/>
      <c r="P147" s="36"/>
    </row>
    <row r="148" spans="1:16" ht="12.75" customHeight="1">
      <c r="A148" s="41" t="s">
        <v>1482</v>
      </c>
      <c r="B148" s="25" t="s">
        <v>1483</v>
      </c>
      <c r="C148" s="435">
        <f t="shared" si="13"/>
        <v>5.2400000000000002E-2</v>
      </c>
      <c r="D148" s="107">
        <f t="shared" si="13"/>
        <v>8.2400000000000001E-2</v>
      </c>
      <c r="E148" s="107">
        <f t="shared" si="13"/>
        <v>8.2400000000000001E-2</v>
      </c>
      <c r="M148" s="435"/>
      <c r="N148" s="440"/>
      <c r="P148" s="36"/>
    </row>
    <row r="149" spans="1:16" ht="12.75" customHeight="1">
      <c r="A149" s="41" t="s">
        <v>1484</v>
      </c>
      <c r="B149" s="25" t="s">
        <v>1485</v>
      </c>
      <c r="C149" s="435">
        <f t="shared" si="13"/>
        <v>5.3900000000000003E-2</v>
      </c>
      <c r="D149" s="107">
        <f t="shared" si="13"/>
        <v>8.3900000000000002E-2</v>
      </c>
      <c r="E149" s="107">
        <f t="shared" si="13"/>
        <v>8.3900000000000002E-2</v>
      </c>
      <c r="M149" s="435"/>
      <c r="N149" s="440"/>
      <c r="P149" s="36"/>
    </row>
    <row r="150" spans="1:16" ht="12.75" customHeight="1">
      <c r="A150" s="41" t="s">
        <v>1486</v>
      </c>
      <c r="B150" s="25" t="s">
        <v>1487</v>
      </c>
      <c r="C150" s="435">
        <f t="shared" si="13"/>
        <v>5.4899999999999997E-2</v>
      </c>
      <c r="D150" s="107">
        <f t="shared" si="13"/>
        <v>8.4900000000000003E-2</v>
      </c>
      <c r="E150" s="107">
        <f t="shared" si="13"/>
        <v>8.4900000000000003E-2</v>
      </c>
      <c r="M150" s="435"/>
      <c r="N150" s="440"/>
      <c r="P150" s="36"/>
    </row>
    <row r="151" spans="1:16" ht="12.75" customHeight="1">
      <c r="A151" s="41" t="s">
        <v>1488</v>
      </c>
      <c r="B151" s="25" t="s">
        <v>1489</v>
      </c>
      <c r="C151" s="435">
        <f t="shared" si="13"/>
        <v>5.5899999999999998E-2</v>
      </c>
      <c r="D151" s="107">
        <f t="shared" si="13"/>
        <v>8.3900000000000002E-2</v>
      </c>
      <c r="E151" s="107">
        <f t="shared" si="13"/>
        <v>8.3900000000000002E-2</v>
      </c>
      <c r="M151" s="435"/>
      <c r="N151" s="440"/>
      <c r="P151" s="36"/>
    </row>
    <row r="152" spans="1:16" ht="12.75" customHeight="1">
      <c r="A152" s="41" t="s">
        <v>1490</v>
      </c>
      <c r="B152" s="25" t="s">
        <v>1491</v>
      </c>
      <c r="C152" s="435">
        <f t="shared" si="13"/>
        <v>5.6899999999999999E-2</v>
      </c>
      <c r="D152" s="107">
        <f t="shared" si="13"/>
        <v>8.4900000000000003E-2</v>
      </c>
      <c r="E152" s="107">
        <f t="shared" si="13"/>
        <v>8.4900000000000003E-2</v>
      </c>
      <c r="M152" s="435"/>
      <c r="N152" s="440"/>
      <c r="P152" s="36"/>
    </row>
    <row r="153" spans="1:16" ht="12.75" customHeight="1">
      <c r="A153" s="41" t="s">
        <v>1492</v>
      </c>
      <c r="B153" s="25" t="s">
        <v>1493</v>
      </c>
      <c r="C153" s="435">
        <f t="shared" si="13"/>
        <v>5.2900000000000003E-2</v>
      </c>
      <c r="D153" s="107">
        <f t="shared" si="13"/>
        <v>8.3900000000000002E-2</v>
      </c>
      <c r="E153" s="107">
        <f t="shared" si="13"/>
        <v>8.3900000000000002E-2</v>
      </c>
      <c r="M153" s="435"/>
      <c r="N153" s="440"/>
      <c r="P153" s="36"/>
    </row>
    <row r="154" spans="1:16" ht="12.75" customHeight="1">
      <c r="A154" s="41" t="s">
        <v>1494</v>
      </c>
      <c r="B154" s="25" t="s">
        <v>1495</v>
      </c>
      <c r="C154" s="435">
        <f t="shared" si="13"/>
        <v>5.1400000000000001E-2</v>
      </c>
      <c r="D154" s="107">
        <f t="shared" si="13"/>
        <v>8.3900000000000002E-2</v>
      </c>
      <c r="E154" s="107">
        <f t="shared" si="13"/>
        <v>8.3900000000000002E-2</v>
      </c>
      <c r="M154" s="435"/>
      <c r="N154" s="440"/>
      <c r="P154" s="36"/>
    </row>
    <row r="155" spans="1:16" ht="12.75" customHeight="1">
      <c r="A155" s="41" t="s">
        <v>1496</v>
      </c>
      <c r="B155" s="25" t="s">
        <v>1497</v>
      </c>
      <c r="C155" s="435">
        <f t="shared" si="13"/>
        <v>5.1900000000000002E-2</v>
      </c>
      <c r="D155" s="107">
        <f t="shared" si="13"/>
        <v>8.3900000000000002E-2</v>
      </c>
      <c r="E155" s="107">
        <f t="shared" si="13"/>
        <v>8.3900000000000002E-2</v>
      </c>
      <c r="M155" s="435"/>
      <c r="N155" s="440"/>
      <c r="P155" s="36"/>
    </row>
    <row r="156" spans="1:16" ht="12.75" customHeight="1">
      <c r="A156" s="41" t="s">
        <v>1498</v>
      </c>
      <c r="B156" s="25" t="s">
        <v>1499</v>
      </c>
      <c r="C156" s="435">
        <f t="shared" si="13"/>
        <v>5.4399999999999997E-2</v>
      </c>
      <c r="D156" s="107">
        <f t="shared" si="13"/>
        <v>8.3900000000000002E-2</v>
      </c>
      <c r="E156" s="107">
        <f t="shared" si="13"/>
        <v>8.3900000000000002E-2</v>
      </c>
      <c r="M156" s="435"/>
      <c r="N156" s="440"/>
      <c r="P156" s="36"/>
    </row>
    <row r="157" spans="1:16" ht="12.75" customHeight="1">
      <c r="A157" s="41" t="s">
        <v>1500</v>
      </c>
      <c r="B157" s="25" t="s">
        <v>1501</v>
      </c>
      <c r="C157" s="435">
        <f t="shared" ref="C157:E176" si="14">+VLOOKUP($B157,Product_IR,C$135,FALSE)</f>
        <v>5.4899999999999997E-2</v>
      </c>
      <c r="D157" s="107">
        <f t="shared" si="14"/>
        <v>8.3900000000000002E-2</v>
      </c>
      <c r="E157" s="107">
        <f t="shared" si="14"/>
        <v>8.3900000000000002E-2</v>
      </c>
      <c r="M157" s="435"/>
      <c r="N157" s="440"/>
      <c r="P157" s="36"/>
    </row>
    <row r="158" spans="1:16" ht="12.75" customHeight="1">
      <c r="A158" s="41" t="s">
        <v>1502</v>
      </c>
      <c r="B158" s="25" t="s">
        <v>1503</v>
      </c>
      <c r="C158" s="435">
        <f t="shared" si="14"/>
        <v>5.3400000000000003E-2</v>
      </c>
      <c r="D158" s="107">
        <f t="shared" si="14"/>
        <v>8.3900000000000002E-2</v>
      </c>
      <c r="E158" s="107">
        <f t="shared" si="14"/>
        <v>8.3900000000000002E-2</v>
      </c>
      <c r="M158" s="435"/>
      <c r="N158" s="440"/>
      <c r="P158" s="36"/>
    </row>
    <row r="159" spans="1:16" ht="12.75" customHeight="1">
      <c r="A159" s="41" t="s">
        <v>1504</v>
      </c>
      <c r="B159" s="25" t="s">
        <v>1505</v>
      </c>
      <c r="C159" s="435">
        <f t="shared" si="14"/>
        <v>5.3900000000000003E-2</v>
      </c>
      <c r="D159" s="107">
        <f t="shared" si="14"/>
        <v>8.3900000000000002E-2</v>
      </c>
      <c r="E159" s="107">
        <f t="shared" si="14"/>
        <v>8.3900000000000002E-2</v>
      </c>
      <c r="M159" s="435"/>
      <c r="N159" s="440"/>
      <c r="P159" s="36"/>
    </row>
    <row r="160" spans="1:16" ht="12.75" customHeight="1">
      <c r="A160" s="41" t="s">
        <v>1506</v>
      </c>
      <c r="B160" s="25" t="s">
        <v>1507</v>
      </c>
      <c r="C160" s="435">
        <f t="shared" si="14"/>
        <v>5.6399999999999999E-2</v>
      </c>
      <c r="D160" s="107">
        <f t="shared" si="14"/>
        <v>8.3900000000000002E-2</v>
      </c>
      <c r="E160" s="107">
        <f t="shared" si="14"/>
        <v>8.3900000000000002E-2</v>
      </c>
      <c r="M160" s="435"/>
      <c r="N160" s="440"/>
      <c r="P160" s="36"/>
    </row>
    <row r="161" spans="1:16" ht="12.75" customHeight="1">
      <c r="A161" s="41" t="s">
        <v>1508</v>
      </c>
      <c r="B161" s="25" t="s">
        <v>1509</v>
      </c>
      <c r="C161" s="435">
        <f t="shared" si="14"/>
        <v>5.3900000000000003E-2</v>
      </c>
      <c r="D161" s="107">
        <f t="shared" si="14"/>
        <v>8.3900000000000002E-2</v>
      </c>
      <c r="E161" s="107">
        <f t="shared" si="14"/>
        <v>8.3900000000000002E-2</v>
      </c>
      <c r="M161" s="435"/>
      <c r="N161" s="440"/>
      <c r="P161" s="36"/>
    </row>
    <row r="162" spans="1:16" ht="12.75" customHeight="1">
      <c r="A162" s="41" t="s">
        <v>1510</v>
      </c>
      <c r="B162" s="25" t="s">
        <v>1511</v>
      </c>
      <c r="C162" s="435">
        <f t="shared" si="14"/>
        <v>5.3400000000000003E-2</v>
      </c>
      <c r="D162" s="107">
        <f t="shared" si="14"/>
        <v>8.3400000000000002E-2</v>
      </c>
      <c r="E162" s="107">
        <f t="shared" si="14"/>
        <v>8.3400000000000002E-2</v>
      </c>
      <c r="M162" s="435"/>
      <c r="N162" s="440"/>
      <c r="P162" s="36"/>
    </row>
    <row r="163" spans="1:16" ht="12.75" customHeight="1">
      <c r="A163" s="41" t="s">
        <v>1512</v>
      </c>
      <c r="B163" s="25" t="s">
        <v>1513</v>
      </c>
      <c r="C163" s="435">
        <f t="shared" si="14"/>
        <v>5.4899999999999997E-2</v>
      </c>
      <c r="D163" s="107">
        <f t="shared" si="14"/>
        <v>8.4900000000000003E-2</v>
      </c>
      <c r="E163" s="107">
        <f t="shared" si="14"/>
        <v>8.4900000000000003E-2</v>
      </c>
      <c r="M163" s="435"/>
      <c r="N163" s="440"/>
      <c r="P163" s="36"/>
    </row>
    <row r="164" spans="1:16" ht="12.75" customHeight="1">
      <c r="A164" s="41" t="s">
        <v>1514</v>
      </c>
      <c r="B164" s="25" t="s">
        <v>1515</v>
      </c>
      <c r="C164" s="435">
        <f t="shared" si="14"/>
        <v>5.5899999999999998E-2</v>
      </c>
      <c r="D164" s="107">
        <f t="shared" si="14"/>
        <v>8.5900000000000004E-2</v>
      </c>
      <c r="E164" s="107">
        <f t="shared" si="14"/>
        <v>8.5900000000000004E-2</v>
      </c>
      <c r="M164" s="435"/>
      <c r="N164" s="440"/>
      <c r="P164" s="36"/>
    </row>
    <row r="165" spans="1:16" ht="12.75" customHeight="1">
      <c r="A165" s="41" t="s">
        <v>1516</v>
      </c>
      <c r="B165" s="25" t="s">
        <v>1517</v>
      </c>
      <c r="C165" s="435">
        <f t="shared" si="14"/>
        <v>5.3400000000000003E-2</v>
      </c>
      <c r="D165" s="107">
        <f t="shared" si="14"/>
        <v>8.3400000000000002E-2</v>
      </c>
      <c r="E165" s="107">
        <f t="shared" si="14"/>
        <v>8.3400000000000002E-2</v>
      </c>
      <c r="M165" s="435"/>
      <c r="N165" s="440"/>
      <c r="P165" s="36"/>
    </row>
    <row r="166" spans="1:16" ht="12.75" customHeight="1">
      <c r="A166" s="41" t="s">
        <v>1518</v>
      </c>
      <c r="B166" s="25" t="s">
        <v>1519</v>
      </c>
      <c r="C166" s="435">
        <f t="shared" si="14"/>
        <v>5.4899999999999997E-2</v>
      </c>
      <c r="D166" s="107">
        <f t="shared" si="14"/>
        <v>8.4900000000000003E-2</v>
      </c>
      <c r="E166" s="107">
        <f t="shared" si="14"/>
        <v>8.4900000000000003E-2</v>
      </c>
      <c r="M166" s="435"/>
      <c r="N166" s="440"/>
      <c r="P166" s="36"/>
    </row>
    <row r="167" spans="1:16" ht="12.75" customHeight="1">
      <c r="A167" s="41" t="s">
        <v>1520</v>
      </c>
      <c r="B167" s="25" t="s">
        <v>1521</v>
      </c>
      <c r="C167" s="435">
        <f t="shared" si="14"/>
        <v>5.5899999999999998E-2</v>
      </c>
      <c r="D167" s="107">
        <f t="shared" si="14"/>
        <v>8.5900000000000004E-2</v>
      </c>
      <c r="E167" s="107">
        <f t="shared" si="14"/>
        <v>8.5900000000000004E-2</v>
      </c>
      <c r="M167" s="435"/>
      <c r="N167" s="440"/>
      <c r="P167" s="36"/>
    </row>
    <row r="168" spans="1:16" ht="12.75" customHeight="1">
      <c r="A168" s="41" t="s">
        <v>1522</v>
      </c>
      <c r="B168" s="25" t="s">
        <v>1523</v>
      </c>
      <c r="C168" s="435">
        <f t="shared" si="14"/>
        <v>5.2400000000000002E-2</v>
      </c>
      <c r="D168" s="107">
        <f t="shared" si="14"/>
        <v>8.3400000000000002E-2</v>
      </c>
      <c r="E168" s="107">
        <f t="shared" si="14"/>
        <v>8.3400000000000002E-2</v>
      </c>
      <c r="M168" s="435"/>
      <c r="N168" s="440"/>
      <c r="P168" s="36"/>
    </row>
    <row r="169" spans="1:16" ht="12.75" customHeight="1">
      <c r="A169" s="41" t="s">
        <v>1524</v>
      </c>
      <c r="B169" s="25" t="s">
        <v>1525</v>
      </c>
      <c r="C169" s="435">
        <f t="shared" si="14"/>
        <v>5.0900000000000001E-2</v>
      </c>
      <c r="D169" s="107">
        <f t="shared" si="14"/>
        <v>8.3400000000000002E-2</v>
      </c>
      <c r="E169" s="107">
        <f t="shared" si="14"/>
        <v>8.3400000000000002E-2</v>
      </c>
      <c r="M169" s="435"/>
      <c r="N169" s="440"/>
      <c r="P169" s="36"/>
    </row>
    <row r="170" spans="1:16" ht="12.75" customHeight="1">
      <c r="A170" s="41" t="s">
        <v>1526</v>
      </c>
      <c r="B170" s="25" t="s">
        <v>1527</v>
      </c>
      <c r="C170" s="435">
        <f t="shared" si="14"/>
        <v>5.1400000000000001E-2</v>
      </c>
      <c r="D170" s="107">
        <f t="shared" si="14"/>
        <v>8.3400000000000002E-2</v>
      </c>
      <c r="E170" s="107">
        <f t="shared" si="14"/>
        <v>8.3400000000000002E-2</v>
      </c>
      <c r="M170" s="435"/>
      <c r="N170" s="440"/>
      <c r="P170" s="36"/>
    </row>
    <row r="171" spans="1:16" ht="12.75" customHeight="1">
      <c r="A171" s="41" t="s">
        <v>1528</v>
      </c>
      <c r="B171" s="25" t="s">
        <v>1529</v>
      </c>
      <c r="C171" s="435">
        <f t="shared" si="14"/>
        <v>5.3900000000000003E-2</v>
      </c>
      <c r="D171" s="107">
        <f t="shared" si="14"/>
        <v>8.3400000000000002E-2</v>
      </c>
      <c r="E171" s="107">
        <f t="shared" si="14"/>
        <v>8.3400000000000002E-2</v>
      </c>
      <c r="M171" s="435"/>
      <c r="N171" s="440"/>
      <c r="P171" s="36"/>
    </row>
    <row r="172" spans="1:16" ht="12.75" customHeight="1">
      <c r="A172" s="41" t="s">
        <v>1530</v>
      </c>
      <c r="B172" s="25" t="s">
        <v>1531</v>
      </c>
      <c r="C172" s="435">
        <f t="shared" si="14"/>
        <v>5.3400000000000003E-2</v>
      </c>
      <c r="D172" s="107">
        <f t="shared" si="14"/>
        <v>8.3400000000000002E-2</v>
      </c>
      <c r="E172" s="107">
        <f t="shared" si="14"/>
        <v>8.3400000000000002E-2</v>
      </c>
      <c r="M172" s="435"/>
      <c r="N172" s="440"/>
      <c r="P172" s="36"/>
    </row>
    <row r="173" spans="1:16" ht="12.75" customHeight="1">
      <c r="A173" s="41" t="s">
        <v>1532</v>
      </c>
      <c r="B173" s="25" t="s">
        <v>1533</v>
      </c>
      <c r="C173" s="435">
        <f t="shared" si="14"/>
        <v>5.4899999999999997E-2</v>
      </c>
      <c r="D173" s="107">
        <f t="shared" si="14"/>
        <v>8.4900000000000003E-2</v>
      </c>
      <c r="E173" s="107">
        <f t="shared" si="14"/>
        <v>8.4900000000000003E-2</v>
      </c>
      <c r="M173" s="435"/>
      <c r="N173" s="440"/>
      <c r="P173" s="36"/>
    </row>
    <row r="174" spans="1:16" ht="12.75" customHeight="1">
      <c r="A174" s="41" t="s">
        <v>1534</v>
      </c>
      <c r="B174" s="25" t="s">
        <v>1535</v>
      </c>
      <c r="C174" s="435">
        <f t="shared" si="14"/>
        <v>5.5899999999999998E-2</v>
      </c>
      <c r="D174" s="107">
        <f t="shared" si="14"/>
        <v>8.5900000000000004E-2</v>
      </c>
      <c r="E174" s="107">
        <f t="shared" si="14"/>
        <v>8.5900000000000004E-2</v>
      </c>
      <c r="M174" s="435"/>
      <c r="N174" s="440"/>
      <c r="P174" s="36"/>
    </row>
    <row r="175" spans="1:16" ht="12.75" customHeight="1">
      <c r="A175" s="41" t="s">
        <v>1536</v>
      </c>
      <c r="B175" s="25" t="s">
        <v>1537</v>
      </c>
      <c r="C175" s="435">
        <f t="shared" si="14"/>
        <v>5.6899999999999999E-2</v>
      </c>
      <c r="D175" s="107">
        <f t="shared" si="14"/>
        <v>8.4900000000000003E-2</v>
      </c>
      <c r="E175" s="107">
        <f t="shared" si="14"/>
        <v>8.4900000000000003E-2</v>
      </c>
      <c r="M175" s="435"/>
      <c r="N175" s="440"/>
      <c r="P175" s="36"/>
    </row>
    <row r="176" spans="1:16" ht="12.75" customHeight="1">
      <c r="A176" s="41" t="s">
        <v>1538</v>
      </c>
      <c r="B176" s="25" t="s">
        <v>1539</v>
      </c>
      <c r="C176" s="435">
        <f t="shared" si="14"/>
        <v>5.79E-2</v>
      </c>
      <c r="D176" s="107">
        <f t="shared" si="14"/>
        <v>8.5900000000000004E-2</v>
      </c>
      <c r="E176" s="107">
        <f t="shared" si="14"/>
        <v>8.5900000000000004E-2</v>
      </c>
      <c r="M176" s="435"/>
      <c r="N176" s="440"/>
      <c r="P176" s="36"/>
    </row>
    <row r="177" spans="1:16" ht="12.75" customHeight="1">
      <c r="A177" s="41" t="s">
        <v>1540</v>
      </c>
      <c r="B177" s="25" t="s">
        <v>1541</v>
      </c>
      <c r="C177" s="435">
        <f t="shared" ref="C177:E196" si="15">+VLOOKUP($B177,Product_IR,C$135,FALSE)</f>
        <v>5.3900000000000003E-2</v>
      </c>
      <c r="D177" s="107">
        <f t="shared" si="15"/>
        <v>8.4900000000000003E-2</v>
      </c>
      <c r="E177" s="107">
        <f t="shared" si="15"/>
        <v>8.4900000000000003E-2</v>
      </c>
      <c r="M177" s="435"/>
      <c r="N177" s="440"/>
      <c r="P177" s="36"/>
    </row>
    <row r="178" spans="1:16" ht="12.75" customHeight="1">
      <c r="A178" s="41" t="s">
        <v>1542</v>
      </c>
      <c r="B178" s="25" t="s">
        <v>1543</v>
      </c>
      <c r="C178" s="435">
        <f t="shared" si="15"/>
        <v>5.2400000000000002E-2</v>
      </c>
      <c r="D178" s="107">
        <f t="shared" si="15"/>
        <v>8.4900000000000003E-2</v>
      </c>
      <c r="E178" s="107">
        <f t="shared" si="15"/>
        <v>8.4900000000000003E-2</v>
      </c>
      <c r="M178" s="435"/>
      <c r="N178" s="440"/>
      <c r="P178" s="36"/>
    </row>
    <row r="179" spans="1:16" ht="12.75" customHeight="1">
      <c r="A179" s="41" t="s">
        <v>1544</v>
      </c>
      <c r="B179" s="25" t="s">
        <v>1545</v>
      </c>
      <c r="C179" s="435">
        <f t="shared" si="15"/>
        <v>5.2900000000000003E-2</v>
      </c>
      <c r="D179" s="107">
        <f t="shared" si="15"/>
        <v>8.4900000000000003E-2</v>
      </c>
      <c r="E179" s="107">
        <f t="shared" si="15"/>
        <v>8.4900000000000003E-2</v>
      </c>
      <c r="M179" s="435"/>
      <c r="N179" s="440"/>
      <c r="P179" s="36"/>
    </row>
    <row r="180" spans="1:16" ht="12.75" customHeight="1">
      <c r="A180" s="41" t="s">
        <v>1546</v>
      </c>
      <c r="B180" s="25" t="s">
        <v>1547</v>
      </c>
      <c r="C180" s="435">
        <f t="shared" si="15"/>
        <v>5.5399999999999998E-2</v>
      </c>
      <c r="D180" s="107">
        <f t="shared" si="15"/>
        <v>8.4900000000000003E-2</v>
      </c>
      <c r="E180" s="107">
        <f t="shared" si="15"/>
        <v>8.4900000000000003E-2</v>
      </c>
      <c r="M180" s="435"/>
      <c r="N180" s="440"/>
      <c r="P180" s="36"/>
    </row>
    <row r="181" spans="1:16" ht="12.75" customHeight="1">
      <c r="A181" s="41" t="s">
        <v>1548</v>
      </c>
      <c r="B181" s="25" t="s">
        <v>1549</v>
      </c>
      <c r="C181" s="435">
        <f t="shared" si="15"/>
        <v>5.5899999999999998E-2</v>
      </c>
      <c r="D181" s="107">
        <f t="shared" si="15"/>
        <v>8.4900000000000003E-2</v>
      </c>
      <c r="E181" s="107">
        <f t="shared" si="15"/>
        <v>8.4900000000000003E-2</v>
      </c>
      <c r="M181" s="435"/>
      <c r="N181" s="440"/>
      <c r="P181" s="36"/>
    </row>
    <row r="182" spans="1:16" ht="12.75" customHeight="1">
      <c r="A182" s="41" t="s">
        <v>1550</v>
      </c>
      <c r="B182" s="25" t="s">
        <v>1551</v>
      </c>
      <c r="C182" s="435">
        <f t="shared" si="15"/>
        <v>5.4399999999999997E-2</v>
      </c>
      <c r="D182" s="107">
        <f t="shared" si="15"/>
        <v>8.4900000000000003E-2</v>
      </c>
      <c r="E182" s="107">
        <f t="shared" si="15"/>
        <v>8.4900000000000003E-2</v>
      </c>
      <c r="M182" s="435"/>
      <c r="N182" s="440"/>
      <c r="P182" s="36"/>
    </row>
    <row r="183" spans="1:16" ht="12.75" customHeight="1">
      <c r="A183" s="41" t="s">
        <v>1552</v>
      </c>
      <c r="B183" s="25" t="s">
        <v>1553</v>
      </c>
      <c r="C183" s="435">
        <f t="shared" si="15"/>
        <v>5.4899999999999997E-2</v>
      </c>
      <c r="D183" s="107">
        <f t="shared" si="15"/>
        <v>8.4900000000000003E-2</v>
      </c>
      <c r="E183" s="107">
        <f t="shared" si="15"/>
        <v>8.4900000000000003E-2</v>
      </c>
      <c r="M183" s="435"/>
      <c r="N183" s="440"/>
      <c r="P183" s="36"/>
    </row>
    <row r="184" spans="1:16" ht="12.75" customHeight="1">
      <c r="A184" s="41" t="s">
        <v>1554</v>
      </c>
      <c r="B184" s="25" t="s">
        <v>1555</v>
      </c>
      <c r="C184" s="435">
        <f t="shared" si="15"/>
        <v>5.74E-2</v>
      </c>
      <c r="D184" s="107">
        <f t="shared" si="15"/>
        <v>8.4900000000000003E-2</v>
      </c>
      <c r="E184" s="107">
        <f t="shared" si="15"/>
        <v>8.4900000000000003E-2</v>
      </c>
      <c r="M184" s="435"/>
      <c r="N184" s="440"/>
      <c r="P184" s="36"/>
    </row>
    <row r="185" spans="1:16" ht="12.75" customHeight="1">
      <c r="A185" s="41" t="s">
        <v>1556</v>
      </c>
      <c r="B185" s="25" t="s">
        <v>1557</v>
      </c>
      <c r="C185" s="435">
        <f t="shared" si="15"/>
        <v>5.4899999999999997E-2</v>
      </c>
      <c r="D185" s="107">
        <f t="shared" si="15"/>
        <v>8.4900000000000003E-2</v>
      </c>
      <c r="E185" s="107">
        <f t="shared" si="15"/>
        <v>8.4900000000000003E-2</v>
      </c>
      <c r="M185" s="435"/>
      <c r="N185" s="440"/>
      <c r="P185" s="36"/>
    </row>
    <row r="186" spans="1:16" ht="12.75" customHeight="1">
      <c r="A186" s="41" t="s">
        <v>1558</v>
      </c>
      <c r="B186" s="25" t="s">
        <v>1559</v>
      </c>
      <c r="C186" s="435">
        <f t="shared" si="15"/>
        <v>5.4399999999999997E-2</v>
      </c>
      <c r="D186" s="107">
        <f t="shared" si="15"/>
        <v>8.4400000000000003E-2</v>
      </c>
      <c r="E186" s="107">
        <f t="shared" si="15"/>
        <v>8.4400000000000003E-2</v>
      </c>
      <c r="M186" s="435"/>
      <c r="N186" s="440"/>
      <c r="P186" s="36"/>
    </row>
    <row r="187" spans="1:16" ht="12.75" customHeight="1">
      <c r="A187" s="41" t="s">
        <v>1560</v>
      </c>
      <c r="B187" s="25" t="s">
        <v>1561</v>
      </c>
      <c r="C187" s="435">
        <f t="shared" si="15"/>
        <v>5.5899999999999998E-2</v>
      </c>
      <c r="D187" s="107">
        <f t="shared" si="15"/>
        <v>8.5900000000000004E-2</v>
      </c>
      <c r="E187" s="107">
        <f t="shared" si="15"/>
        <v>8.5900000000000004E-2</v>
      </c>
      <c r="M187" s="435"/>
      <c r="N187" s="440"/>
      <c r="P187" s="36"/>
    </row>
    <row r="188" spans="1:16" ht="12.75" customHeight="1">
      <c r="A188" s="41" t="s">
        <v>1562</v>
      </c>
      <c r="B188" s="25" t="s">
        <v>1563</v>
      </c>
      <c r="C188" s="435">
        <f t="shared" si="15"/>
        <v>5.6899999999999999E-2</v>
      </c>
      <c r="D188" s="107">
        <f t="shared" si="15"/>
        <v>8.6900000000000005E-2</v>
      </c>
      <c r="E188" s="107">
        <f t="shared" si="15"/>
        <v>8.6900000000000005E-2</v>
      </c>
      <c r="M188" s="435"/>
      <c r="N188" s="440"/>
      <c r="P188" s="36"/>
    </row>
    <row r="189" spans="1:16" ht="12.75" customHeight="1">
      <c r="A189" s="41" t="s">
        <v>1564</v>
      </c>
      <c r="B189" s="25" t="s">
        <v>1565</v>
      </c>
      <c r="C189" s="435">
        <f t="shared" si="15"/>
        <v>5.4399999999999997E-2</v>
      </c>
      <c r="D189" s="107">
        <f t="shared" si="15"/>
        <v>8.4400000000000003E-2</v>
      </c>
      <c r="E189" s="107">
        <f t="shared" si="15"/>
        <v>8.4400000000000003E-2</v>
      </c>
      <c r="M189" s="435"/>
      <c r="N189" s="440"/>
      <c r="P189" s="36"/>
    </row>
    <row r="190" spans="1:16" ht="12.75" customHeight="1">
      <c r="A190" s="41" t="s">
        <v>1566</v>
      </c>
      <c r="B190" s="25" t="s">
        <v>1567</v>
      </c>
      <c r="C190" s="435">
        <f t="shared" si="15"/>
        <v>5.5899999999999998E-2</v>
      </c>
      <c r="D190" s="107">
        <f t="shared" si="15"/>
        <v>8.5900000000000004E-2</v>
      </c>
      <c r="E190" s="107">
        <f t="shared" si="15"/>
        <v>8.5900000000000004E-2</v>
      </c>
      <c r="M190" s="435"/>
      <c r="N190" s="440"/>
      <c r="P190" s="36"/>
    </row>
    <row r="191" spans="1:16" ht="12.75" customHeight="1">
      <c r="A191" s="41" t="s">
        <v>1568</v>
      </c>
      <c r="B191" s="25" t="s">
        <v>1569</v>
      </c>
      <c r="C191" s="435">
        <f t="shared" si="15"/>
        <v>5.6899999999999999E-2</v>
      </c>
      <c r="D191" s="107">
        <f t="shared" si="15"/>
        <v>8.6900000000000005E-2</v>
      </c>
      <c r="E191" s="107">
        <f t="shared" si="15"/>
        <v>8.6900000000000005E-2</v>
      </c>
      <c r="M191" s="435"/>
      <c r="N191" s="440"/>
      <c r="P191" s="36"/>
    </row>
    <row r="192" spans="1:16" ht="12.75" customHeight="1">
      <c r="A192" s="41" t="s">
        <v>1570</v>
      </c>
      <c r="B192" s="25" t="s">
        <v>1571</v>
      </c>
      <c r="C192" s="435">
        <f t="shared" si="15"/>
        <v>5.3400000000000003E-2</v>
      </c>
      <c r="D192" s="107">
        <f t="shared" si="15"/>
        <v>8.4400000000000003E-2</v>
      </c>
      <c r="E192" s="107">
        <f t="shared" si="15"/>
        <v>8.4400000000000003E-2</v>
      </c>
      <c r="M192" s="435"/>
      <c r="N192" s="440"/>
      <c r="P192" s="36"/>
    </row>
    <row r="193" spans="1:16" ht="12.75" customHeight="1">
      <c r="A193" s="41" t="s">
        <v>1572</v>
      </c>
      <c r="B193" s="25" t="s">
        <v>1573</v>
      </c>
      <c r="C193" s="435">
        <f t="shared" si="15"/>
        <v>5.3400000000000003E-2</v>
      </c>
      <c r="D193" s="107">
        <f t="shared" si="15"/>
        <v>8.4400000000000003E-2</v>
      </c>
      <c r="E193" s="107">
        <f t="shared" si="15"/>
        <v>8.4400000000000003E-2</v>
      </c>
      <c r="M193" s="435"/>
      <c r="N193" s="440"/>
      <c r="P193" s="36"/>
    </row>
    <row r="194" spans="1:16" ht="12.75" customHeight="1">
      <c r="A194" s="41" t="s">
        <v>1574</v>
      </c>
      <c r="B194" s="25" t="s">
        <v>1575</v>
      </c>
      <c r="C194" s="435">
        <f t="shared" si="15"/>
        <v>5.1900000000000002E-2</v>
      </c>
      <c r="D194" s="107">
        <f t="shared" si="15"/>
        <v>8.4400000000000003E-2</v>
      </c>
      <c r="E194" s="107">
        <f t="shared" si="15"/>
        <v>8.4400000000000003E-2</v>
      </c>
      <c r="M194" s="435"/>
      <c r="N194" s="440"/>
      <c r="P194" s="36"/>
    </row>
    <row r="195" spans="1:16" ht="12.75" customHeight="1">
      <c r="A195" s="41" t="s">
        <v>1576</v>
      </c>
      <c r="B195" s="25" t="s">
        <v>1577</v>
      </c>
      <c r="C195" s="435">
        <f t="shared" si="15"/>
        <v>5.2400000000000002E-2</v>
      </c>
      <c r="D195" s="107">
        <f t="shared" si="15"/>
        <v>8.4400000000000003E-2</v>
      </c>
      <c r="E195" s="107">
        <f t="shared" si="15"/>
        <v>8.4400000000000003E-2</v>
      </c>
      <c r="M195" s="435"/>
      <c r="N195" s="440"/>
      <c r="P195" s="36"/>
    </row>
    <row r="196" spans="1:16" ht="12.75" customHeight="1">
      <c r="A196" s="41" t="s">
        <v>1578</v>
      </c>
      <c r="B196" s="25" t="s">
        <v>1579</v>
      </c>
      <c r="C196" s="435">
        <f t="shared" si="15"/>
        <v>5.4899999999999997E-2</v>
      </c>
      <c r="D196" s="107">
        <f t="shared" si="15"/>
        <v>8.4400000000000003E-2</v>
      </c>
      <c r="E196" s="107">
        <f t="shared" si="15"/>
        <v>8.4400000000000003E-2</v>
      </c>
      <c r="M196" s="435"/>
      <c r="N196" s="440"/>
      <c r="P196" s="36"/>
    </row>
    <row r="197" spans="1:16" ht="12.75" customHeight="1">
      <c r="A197" s="41" t="s">
        <v>1580</v>
      </c>
      <c r="B197" s="25" t="s">
        <v>1581</v>
      </c>
      <c r="C197" s="435">
        <f t="shared" ref="C197:E210" si="16">+VLOOKUP($B197,Product_IR,C$135,FALSE)</f>
        <v>5.4399999999999997E-2</v>
      </c>
      <c r="D197" s="107">
        <f t="shared" si="16"/>
        <v>8.4400000000000003E-2</v>
      </c>
      <c r="E197" s="107">
        <f t="shared" si="16"/>
        <v>8.4400000000000003E-2</v>
      </c>
      <c r="M197" s="435"/>
      <c r="N197" s="440"/>
      <c r="P197" s="36"/>
    </row>
    <row r="198" spans="1:16" ht="12.75" customHeight="1">
      <c r="A198" s="41" t="s">
        <v>1582</v>
      </c>
      <c r="B198" s="25" t="s">
        <v>1583</v>
      </c>
      <c r="C198" s="435">
        <f t="shared" si="16"/>
        <v>5.5899999999999998E-2</v>
      </c>
      <c r="D198" s="107">
        <f t="shared" si="16"/>
        <v>8.5900000000000004E-2</v>
      </c>
      <c r="E198" s="107">
        <f t="shared" si="16"/>
        <v>8.5900000000000004E-2</v>
      </c>
      <c r="M198" s="435"/>
      <c r="N198" s="440"/>
      <c r="P198" s="36"/>
    </row>
    <row r="199" spans="1:16" ht="12.75" customHeight="1">
      <c r="A199" s="41" t="s">
        <v>1584</v>
      </c>
      <c r="B199" s="25" t="s">
        <v>1585</v>
      </c>
      <c r="C199" s="435">
        <f t="shared" si="16"/>
        <v>5.6899999999999999E-2</v>
      </c>
      <c r="D199" s="107">
        <f t="shared" si="16"/>
        <v>8.6900000000000005E-2</v>
      </c>
      <c r="E199" s="107">
        <f t="shared" si="16"/>
        <v>8.6900000000000005E-2</v>
      </c>
      <c r="M199" s="435"/>
      <c r="N199" s="440"/>
      <c r="P199" s="36"/>
    </row>
    <row r="200" spans="1:16" ht="12.75" customHeight="1">
      <c r="A200" s="41" t="s">
        <v>1586</v>
      </c>
      <c r="B200" s="25" t="s">
        <v>1587</v>
      </c>
      <c r="C200" s="435">
        <f t="shared" si="16"/>
        <v>5.79E-2</v>
      </c>
      <c r="D200" s="107">
        <f t="shared" si="16"/>
        <v>8.5900000000000004E-2</v>
      </c>
      <c r="E200" s="107">
        <f t="shared" si="16"/>
        <v>8.5900000000000004E-2</v>
      </c>
      <c r="M200" s="435"/>
      <c r="N200" s="440"/>
      <c r="P200" s="36"/>
    </row>
    <row r="201" spans="1:16" ht="12.75" customHeight="1">
      <c r="A201" s="41" t="s">
        <v>1588</v>
      </c>
      <c r="B201" s="25" t="s">
        <v>1589</v>
      </c>
      <c r="C201" s="435">
        <f t="shared" si="16"/>
        <v>5.8900000000000001E-2</v>
      </c>
      <c r="D201" s="107">
        <f t="shared" si="16"/>
        <v>8.6900000000000005E-2</v>
      </c>
      <c r="E201" s="107">
        <f t="shared" si="16"/>
        <v>8.6900000000000005E-2</v>
      </c>
      <c r="M201" s="435"/>
      <c r="N201" s="440"/>
      <c r="P201" s="36"/>
    </row>
    <row r="202" spans="1:16" ht="12.75" customHeight="1">
      <c r="A202" s="41" t="s">
        <v>1590</v>
      </c>
      <c r="B202" s="25" t="s">
        <v>1591</v>
      </c>
      <c r="C202" s="435">
        <f t="shared" si="16"/>
        <v>5.4899999999999997E-2</v>
      </c>
      <c r="D202" s="107">
        <f t="shared" si="16"/>
        <v>8.5900000000000004E-2</v>
      </c>
      <c r="E202" s="107">
        <f t="shared" si="16"/>
        <v>8.5900000000000004E-2</v>
      </c>
      <c r="M202" s="435"/>
      <c r="N202" s="440"/>
      <c r="P202" s="36"/>
    </row>
    <row r="203" spans="1:16" ht="12.75" customHeight="1">
      <c r="A203" s="41" t="s">
        <v>1592</v>
      </c>
      <c r="B203" s="25" t="s">
        <v>1593</v>
      </c>
      <c r="C203" s="435">
        <f t="shared" si="16"/>
        <v>5.3400000000000003E-2</v>
      </c>
      <c r="D203" s="107">
        <f t="shared" si="16"/>
        <v>8.5900000000000004E-2</v>
      </c>
      <c r="E203" s="107">
        <f t="shared" si="16"/>
        <v>8.5900000000000004E-2</v>
      </c>
      <c r="M203" s="435"/>
      <c r="N203" s="440"/>
      <c r="P203" s="36"/>
    </row>
    <row r="204" spans="1:16" ht="12.75" customHeight="1">
      <c r="A204" s="41" t="s">
        <v>1594</v>
      </c>
      <c r="B204" s="25" t="s">
        <v>1595</v>
      </c>
      <c r="C204" s="435">
        <f t="shared" si="16"/>
        <v>5.3900000000000003E-2</v>
      </c>
      <c r="D204" s="107">
        <f t="shared" si="16"/>
        <v>8.5900000000000004E-2</v>
      </c>
      <c r="E204" s="107">
        <f t="shared" si="16"/>
        <v>8.5900000000000004E-2</v>
      </c>
      <c r="M204" s="435"/>
      <c r="N204" s="440"/>
      <c r="P204" s="36"/>
    </row>
    <row r="205" spans="1:16" ht="12.75" customHeight="1">
      <c r="A205" s="41" t="s">
        <v>1596</v>
      </c>
      <c r="B205" s="25" t="s">
        <v>1597</v>
      </c>
      <c r="C205" s="435">
        <f t="shared" si="16"/>
        <v>5.6399999999999999E-2</v>
      </c>
      <c r="D205" s="107">
        <f t="shared" si="16"/>
        <v>8.5900000000000004E-2</v>
      </c>
      <c r="E205" s="107">
        <f t="shared" si="16"/>
        <v>8.5900000000000004E-2</v>
      </c>
      <c r="M205" s="435"/>
      <c r="N205" s="440"/>
      <c r="P205" s="36"/>
    </row>
    <row r="206" spans="1:16" ht="12.75" customHeight="1">
      <c r="A206" s="41" t="s">
        <v>1598</v>
      </c>
      <c r="B206" s="25" t="s">
        <v>1599</v>
      </c>
      <c r="C206" s="435">
        <f t="shared" si="16"/>
        <v>5.6899999999999999E-2</v>
      </c>
      <c r="D206" s="107">
        <f t="shared" si="16"/>
        <v>8.5900000000000004E-2</v>
      </c>
      <c r="E206" s="107">
        <f t="shared" si="16"/>
        <v>8.5900000000000004E-2</v>
      </c>
      <c r="M206" s="435"/>
      <c r="N206" s="440"/>
      <c r="P206" s="36"/>
    </row>
    <row r="207" spans="1:16" ht="12.75" customHeight="1">
      <c r="A207" s="41" t="s">
        <v>1600</v>
      </c>
      <c r="B207" s="25" t="s">
        <v>1601</v>
      </c>
      <c r="C207" s="435">
        <f t="shared" si="16"/>
        <v>5.5399999999999998E-2</v>
      </c>
      <c r="D207" s="107">
        <f t="shared" si="16"/>
        <v>8.5900000000000004E-2</v>
      </c>
      <c r="E207" s="107">
        <f t="shared" si="16"/>
        <v>8.5900000000000004E-2</v>
      </c>
      <c r="M207" s="435"/>
      <c r="N207" s="440"/>
      <c r="P207" s="36"/>
    </row>
    <row r="208" spans="1:16" ht="12.75" customHeight="1">
      <c r="A208" s="41" t="s">
        <v>1602</v>
      </c>
      <c r="B208" s="25" t="s">
        <v>1603</v>
      </c>
      <c r="C208" s="435">
        <f t="shared" si="16"/>
        <v>5.5899999999999998E-2</v>
      </c>
      <c r="D208" s="107">
        <f t="shared" si="16"/>
        <v>8.5900000000000004E-2</v>
      </c>
      <c r="E208" s="107">
        <f t="shared" si="16"/>
        <v>8.5900000000000004E-2</v>
      </c>
      <c r="M208" s="435"/>
      <c r="N208" s="440"/>
      <c r="P208" s="36"/>
    </row>
    <row r="209" spans="1:16" ht="12.75" customHeight="1">
      <c r="A209" s="41" t="s">
        <v>1604</v>
      </c>
      <c r="B209" s="25" t="s">
        <v>1605</v>
      </c>
      <c r="C209" s="435">
        <f t="shared" si="16"/>
        <v>5.8400000000000001E-2</v>
      </c>
      <c r="D209" s="107">
        <f t="shared" si="16"/>
        <v>8.5900000000000004E-2</v>
      </c>
      <c r="E209" s="107">
        <f t="shared" si="16"/>
        <v>8.5900000000000004E-2</v>
      </c>
      <c r="M209" s="435"/>
      <c r="N209" s="440"/>
      <c r="P209" s="36"/>
    </row>
    <row r="210" spans="1:16" ht="12.75" customHeight="1">
      <c r="A210" s="41" t="s">
        <v>1606</v>
      </c>
      <c r="B210" s="25" t="s">
        <v>1607</v>
      </c>
      <c r="C210" s="435">
        <f t="shared" si="16"/>
        <v>5.5899999999999998E-2</v>
      </c>
      <c r="D210" s="107">
        <f t="shared" si="16"/>
        <v>8.5900000000000004E-2</v>
      </c>
      <c r="E210" s="107">
        <f t="shared" si="16"/>
        <v>8.5900000000000004E-2</v>
      </c>
      <c r="M210" s="435"/>
      <c r="N210" s="440"/>
      <c r="P210" s="36"/>
    </row>
    <row r="211" spans="1:16" ht="12.75" customHeight="1">
      <c r="A211" s="18" t="s">
        <v>1422</v>
      </c>
      <c r="B211" s="18" t="s">
        <v>152</v>
      </c>
      <c r="C211" s="499">
        <f>C212+H131</f>
        <v>6.8400000000000002E-2</v>
      </c>
      <c r="D211" s="435">
        <f>C211+D131</f>
        <v>9.8400000000000001E-2</v>
      </c>
      <c r="E211" s="435">
        <f>C211+D131</f>
        <v>9.8400000000000001E-2</v>
      </c>
      <c r="M211" s="435"/>
      <c r="N211" s="440"/>
      <c r="P211" s="36"/>
    </row>
    <row r="212" spans="1:16" ht="12.75" customHeight="1">
      <c r="A212" s="18" t="s">
        <v>1416</v>
      </c>
      <c r="B212" s="18" t="s">
        <v>152</v>
      </c>
      <c r="C212" s="499">
        <f>+VLOOKUP($B212,Product_IR,C$135,FALSE)-VLOOKUP(Broker!C24,Tables!L239:M240,2,TRUE)</f>
        <v>6.6900000000000001E-2</v>
      </c>
      <c r="D212" s="435">
        <f>+VLOOKUP($B212,Product_IR,D$135,FALSE)</f>
        <v>9.69E-2</v>
      </c>
      <c r="E212" s="435">
        <f t="shared" ref="E212:E235" si="17">+VLOOKUP($B212,Product_IR,E$135,FALSE)</f>
        <v>9.69E-2</v>
      </c>
      <c r="H212" s="18"/>
      <c r="M212" s="686"/>
      <c r="N212" s="440"/>
      <c r="O212" s="36"/>
      <c r="P212" s="36"/>
    </row>
    <row r="213" spans="1:16" ht="12.75" customHeight="1">
      <c r="A213" s="18" t="s">
        <v>151</v>
      </c>
      <c r="B213" s="18" t="s">
        <v>152</v>
      </c>
      <c r="C213" s="499">
        <f>+C212+G131</f>
        <v>6.2400000000000004E-2</v>
      </c>
      <c r="D213" s="435">
        <f>C213+C131</f>
        <v>9.240000000000001E-2</v>
      </c>
      <c r="E213" s="435">
        <f>C213+D131</f>
        <v>9.240000000000001E-2</v>
      </c>
      <c r="H213" s="18"/>
      <c r="M213" s="686"/>
      <c r="N213" s="440"/>
      <c r="O213" s="36"/>
      <c r="P213" s="36"/>
    </row>
    <row r="214" spans="1:16" ht="12.75" customHeight="1">
      <c r="A214" s="18" t="s">
        <v>153</v>
      </c>
      <c r="B214" s="18" t="s">
        <v>154</v>
      </c>
      <c r="C214" s="499">
        <f>+VLOOKUP(B214,Product_IR,2,FALSE)</f>
        <v>7.1499999999999994E-2</v>
      </c>
      <c r="D214" s="435">
        <f t="shared" ref="D214:D220" si="18">+VLOOKUP($B214,Product_IR,D$135,FALSE)</f>
        <v>0.10149999999999999</v>
      </c>
      <c r="E214" s="435">
        <f t="shared" si="17"/>
        <v>0.10149999999999999</v>
      </c>
      <c r="F214" s="35">
        <f>+Tables!G244</f>
        <v>0</v>
      </c>
      <c r="G214" s="445">
        <f>+Tables!H244</f>
        <v>0</v>
      </c>
      <c r="H214" s="445">
        <f>+Tables!I244</f>
        <v>249999</v>
      </c>
      <c r="I214" s="132">
        <f>+Tables!J244</f>
        <v>499999</v>
      </c>
      <c r="J214" s="694">
        <f>+Tables!K244</f>
        <v>749999</v>
      </c>
      <c r="M214" s="686"/>
      <c r="P214" s="36"/>
    </row>
    <row r="215" spans="1:16" ht="12.75" customHeight="1">
      <c r="A215" s="18" t="s">
        <v>155</v>
      </c>
      <c r="B215" s="18" t="s">
        <v>156</v>
      </c>
      <c r="C215" s="499">
        <f>C214-VLOOKUP(Broker!C24,Tables!L244:M247,2,TRUE)</f>
        <v>6.4000000000000001E-2</v>
      </c>
      <c r="D215" s="435" t="e">
        <f t="shared" si="18"/>
        <v>#N/A</v>
      </c>
      <c r="E215" s="435" t="e">
        <f t="shared" si="17"/>
        <v>#N/A</v>
      </c>
      <c r="F215" s="552">
        <f>+Tables!G245</f>
        <v>33</v>
      </c>
      <c r="G215" s="32">
        <f>+Tables!H245</f>
        <v>7.4999999999999997E-3</v>
      </c>
      <c r="H215" s="32">
        <f>+Tables!I245</f>
        <v>8.5000000000000006E-3</v>
      </c>
      <c r="I215" s="695">
        <f>+Tables!J245</f>
        <v>9.4999999999999998E-3</v>
      </c>
      <c r="J215" s="695">
        <f>+Tables!K245</f>
        <v>1.0500000000000001E-2</v>
      </c>
      <c r="M215" s="686"/>
      <c r="N215" s="440"/>
      <c r="O215" s="36"/>
      <c r="P215" s="36"/>
    </row>
    <row r="216" spans="1:16" ht="12.75" customHeight="1">
      <c r="A216" s="25" t="s">
        <v>157</v>
      </c>
      <c r="B216" s="25" t="s">
        <v>158</v>
      </c>
      <c r="C216" s="499">
        <f>+VLOOKUP(B216,Product_IR,2,FALSE)</f>
        <v>6.2399999999999997E-2</v>
      </c>
      <c r="D216" s="435" t="e">
        <f t="shared" si="18"/>
        <v>#N/A</v>
      </c>
      <c r="E216" s="435" t="e">
        <f t="shared" si="17"/>
        <v>#N/A</v>
      </c>
      <c r="F216" s="552">
        <f>+Tables!G246</f>
        <v>33</v>
      </c>
      <c r="M216" s="686"/>
      <c r="N216" s="440"/>
      <c r="O216" s="36"/>
      <c r="P216" s="36"/>
    </row>
    <row r="217" spans="1:16" ht="12.75" customHeight="1">
      <c r="A217" s="25" t="s">
        <v>159</v>
      </c>
      <c r="B217" s="25" t="s">
        <v>160</v>
      </c>
      <c r="C217" s="499">
        <f>+VLOOKUP(B217,Product_IR,2,FALSE)</f>
        <v>6.2399999999999997E-2</v>
      </c>
      <c r="D217" s="435" t="e">
        <f t="shared" si="18"/>
        <v>#N/A</v>
      </c>
      <c r="E217" s="435" t="e">
        <f t="shared" si="17"/>
        <v>#N/A</v>
      </c>
      <c r="F217" s="552">
        <f>+Tables!G247</f>
        <v>33</v>
      </c>
      <c r="M217" s="696"/>
      <c r="N217" s="440"/>
      <c r="O217" s="36"/>
      <c r="P217" s="36"/>
    </row>
    <row r="218" spans="1:16" ht="12.75" customHeight="1">
      <c r="A218" s="25" t="s">
        <v>161</v>
      </c>
      <c r="B218" s="25" t="s">
        <v>162</v>
      </c>
      <c r="C218" s="499">
        <f>+VLOOKUP(B218,Product_IR,2,FALSE)</f>
        <v>5.9900000000000002E-2</v>
      </c>
      <c r="D218" s="435" t="e">
        <f t="shared" si="18"/>
        <v>#N/A</v>
      </c>
      <c r="E218" s="435" t="e">
        <f t="shared" si="17"/>
        <v>#N/A</v>
      </c>
      <c r="F218" s="552">
        <f>+Tables!G248</f>
        <v>33</v>
      </c>
      <c r="H218" s="18"/>
      <c r="M218" s="686"/>
      <c r="N218" s="440"/>
      <c r="O218" s="36"/>
      <c r="P218" s="36"/>
    </row>
    <row r="219" spans="1:16" ht="12.75" customHeight="1">
      <c r="A219" s="25" t="s">
        <v>163</v>
      </c>
      <c r="B219" s="25" t="s">
        <v>164</v>
      </c>
      <c r="C219" s="499">
        <f>+VLOOKUP(B219,Product_IR,2,FALSE)</f>
        <v>6.6400000000000001E-2</v>
      </c>
      <c r="D219" s="435" t="e">
        <f t="shared" si="18"/>
        <v>#N/A</v>
      </c>
      <c r="E219" s="435" t="e">
        <f t="shared" si="17"/>
        <v>#N/A</v>
      </c>
      <c r="F219" s="552">
        <f>+Tables!G249</f>
        <v>33</v>
      </c>
      <c r="H219" s="18"/>
      <c r="M219" s="686"/>
      <c r="N219" s="440"/>
      <c r="O219" s="36"/>
      <c r="P219" s="36"/>
    </row>
    <row r="220" spans="1:16" ht="12.75" customHeight="1">
      <c r="A220" s="25" t="s">
        <v>1418</v>
      </c>
      <c r="B220" s="25" t="s">
        <v>1428</v>
      </c>
      <c r="C220" s="499" t="e">
        <f>+VLOOKUP($B220,Product_IR,C$135,FALSE)-VLOOKUP(Broker!C$24,Tables!L252:M253,2,TRUE)</f>
        <v>#N/A</v>
      </c>
      <c r="D220" s="435" t="e">
        <f t="shared" si="18"/>
        <v>#N/A</v>
      </c>
      <c r="E220" s="435" t="e">
        <f t="shared" si="17"/>
        <v>#N/A</v>
      </c>
      <c r="H220" s="18"/>
      <c r="M220" s="686"/>
      <c r="N220" s="440"/>
      <c r="P220" s="36"/>
    </row>
    <row r="221" spans="1:16" ht="12.75" customHeight="1">
      <c r="A221" s="25" t="s">
        <v>1419</v>
      </c>
      <c r="B221" s="25" t="s">
        <v>1429</v>
      </c>
      <c r="C221" s="499" t="e">
        <f>+C220+E$131</f>
        <v>#N/A</v>
      </c>
      <c r="D221" s="435">
        <f>+VLOOKUP($B226,Product_IR,D$135,FALSE)</f>
        <v>9.9899999999999989E-2</v>
      </c>
      <c r="E221" s="435">
        <f>+VLOOKUP($B226,Product_IR,E$135,FALSE)</f>
        <v>9.9899999999999989E-2</v>
      </c>
      <c r="H221" s="18"/>
      <c r="M221" s="686"/>
      <c r="N221" s="36"/>
      <c r="O221" s="36"/>
      <c r="P221" s="36"/>
    </row>
    <row r="222" spans="1:16" ht="12.75" customHeight="1">
      <c r="A222" s="25" t="s">
        <v>165</v>
      </c>
      <c r="B222" s="25" t="s">
        <v>166</v>
      </c>
      <c r="C222" s="499" t="e">
        <f>+VLOOKUP($B222,Product_IR,C$135,FALSE)-VLOOKUP(Broker!C$24,Tables!L252:M253,2,TRUE)</f>
        <v>#N/A</v>
      </c>
      <c r="D222" s="435" t="e">
        <f t="shared" ref="D222:D235" si="19">+VLOOKUP($B222,Product_IR,D$135,FALSE)</f>
        <v>#N/A</v>
      </c>
      <c r="E222" s="435" t="e">
        <f t="shared" si="17"/>
        <v>#N/A</v>
      </c>
      <c r="H222" s="18"/>
      <c r="M222" s="686"/>
      <c r="N222" s="36"/>
      <c r="O222" s="36"/>
      <c r="P222" s="36"/>
    </row>
    <row r="223" spans="1:16" ht="12.75" customHeight="1">
      <c r="A223" s="25" t="s">
        <v>167</v>
      </c>
      <c r="B223" s="25" t="s">
        <v>168</v>
      </c>
      <c r="C223" s="499" t="e">
        <f>+C222+E$131</f>
        <v>#N/A</v>
      </c>
      <c r="D223" s="435">
        <f t="shared" si="19"/>
        <v>9.9899999999999989E-2</v>
      </c>
      <c r="E223" s="435">
        <f t="shared" si="17"/>
        <v>9.9899999999999989E-2</v>
      </c>
      <c r="H223" s="18"/>
      <c r="M223" s="686"/>
      <c r="N223" s="36"/>
      <c r="O223" s="36"/>
      <c r="P223" s="36"/>
    </row>
    <row r="224" spans="1:16" ht="12.75" customHeight="1">
      <c r="A224" s="18" t="s">
        <v>169</v>
      </c>
      <c r="B224" s="18" t="s">
        <v>170</v>
      </c>
      <c r="C224" s="499">
        <f>+VLOOKUP(B224,Product_IR,2,FALSE)</f>
        <v>7.7399999999999997E-2</v>
      </c>
      <c r="D224" s="435">
        <f t="shared" si="19"/>
        <v>0.1074</v>
      </c>
      <c r="E224" s="435">
        <f t="shared" si="17"/>
        <v>0.1074</v>
      </c>
      <c r="H224" s="18"/>
      <c r="M224" s="686"/>
      <c r="N224" s="440"/>
      <c r="O224" s="36"/>
      <c r="P224" s="36"/>
    </row>
    <row r="225" spans="1:16" ht="12.75" customHeight="1">
      <c r="A225" s="18" t="s">
        <v>171</v>
      </c>
      <c r="B225" s="18" t="s">
        <v>172</v>
      </c>
      <c r="C225" s="499">
        <f>+C224+E$131</f>
        <v>7.9399999999999998E-2</v>
      </c>
      <c r="D225" s="435">
        <f t="shared" si="19"/>
        <v>0.1074</v>
      </c>
      <c r="E225" s="435">
        <f t="shared" si="17"/>
        <v>0.1074</v>
      </c>
      <c r="F225" s="35">
        <f>+Tables!G258</f>
        <v>0</v>
      </c>
      <c r="G225" s="445">
        <f>+Tables!H258</f>
        <v>0</v>
      </c>
      <c r="H225" s="445">
        <f>+Tables!I258</f>
        <v>249999</v>
      </c>
      <c r="I225" s="132">
        <f>+Tables!J258</f>
        <v>499999</v>
      </c>
      <c r="J225" s="694">
        <f>+Tables!K258</f>
        <v>749999</v>
      </c>
      <c r="M225" s="686"/>
      <c r="O225" s="36"/>
      <c r="P225" s="36"/>
    </row>
    <row r="226" spans="1:16" ht="12.75" customHeight="1">
      <c r="A226" s="25" t="s">
        <v>173</v>
      </c>
      <c r="B226" s="25" t="s">
        <v>174</v>
      </c>
      <c r="C226" s="499">
        <f>C224-VLOOKUP(Broker!C$24,Tables!L258:M261,2,TRUE)</f>
        <v>6.989999999999999E-2</v>
      </c>
      <c r="D226" s="435">
        <f t="shared" si="19"/>
        <v>9.9899999999999989E-2</v>
      </c>
      <c r="E226" s="435">
        <f t="shared" si="17"/>
        <v>9.9899999999999989E-2</v>
      </c>
      <c r="F226" s="552">
        <f>+Tables!G259</f>
        <v>33</v>
      </c>
      <c r="G226" s="32">
        <f>+Tables!H259</f>
        <v>7.4999999999999997E-3</v>
      </c>
      <c r="H226" s="32">
        <f>+Tables!I259</f>
        <v>8.5000000000000006E-3</v>
      </c>
      <c r="I226" s="695">
        <f>+Tables!J259</f>
        <v>9.4999999999999998E-3</v>
      </c>
      <c r="J226" s="695">
        <f>+Tables!K259</f>
        <v>1.0500000000000001E-2</v>
      </c>
      <c r="M226" s="686"/>
      <c r="O226" s="36"/>
      <c r="P226" s="36"/>
    </row>
    <row r="227" spans="1:16" ht="12.75" customHeight="1">
      <c r="A227" s="25" t="s">
        <v>175</v>
      </c>
      <c r="B227" s="25" t="s">
        <v>176</v>
      </c>
      <c r="C227" s="499">
        <f>+C226+E$131</f>
        <v>7.1899999999999992E-2</v>
      </c>
      <c r="D227" s="435">
        <f t="shared" si="19"/>
        <v>9.9899999999999989E-2</v>
      </c>
      <c r="E227" s="435">
        <f t="shared" si="17"/>
        <v>9.9899999999999989E-2</v>
      </c>
      <c r="F227" s="552">
        <f>+Tables!G260</f>
        <v>33</v>
      </c>
      <c r="M227" s="686"/>
      <c r="N227" s="440"/>
      <c r="O227" s="36"/>
      <c r="P227" s="36"/>
    </row>
    <row r="228" spans="1:16" ht="12.75" customHeight="1">
      <c r="A228" s="25" t="s">
        <v>177</v>
      </c>
      <c r="B228" s="25" t="s">
        <v>178</v>
      </c>
      <c r="C228" s="499">
        <f>+VLOOKUP(B228,Product_IR,2,FALSE)</f>
        <v>6.2399999999999997E-2</v>
      </c>
      <c r="D228" s="435">
        <f t="shared" si="19"/>
        <v>9.9899999999999989E-2</v>
      </c>
      <c r="E228" s="435">
        <f t="shared" si="17"/>
        <v>9.9899999999999989E-2</v>
      </c>
      <c r="F228" s="552">
        <f>+Tables!G261</f>
        <v>33</v>
      </c>
      <c r="G228" s="44"/>
      <c r="H228" s="44"/>
      <c r="I228" s="696"/>
      <c r="J228" s="686"/>
      <c r="M228" s="686"/>
      <c r="N228" s="551"/>
      <c r="O228" s="551"/>
      <c r="P228" s="36"/>
    </row>
    <row r="229" spans="1:16" ht="12.75" customHeight="1">
      <c r="A229" s="25" t="s">
        <v>179</v>
      </c>
      <c r="B229" s="25" t="s">
        <v>180</v>
      </c>
      <c r="C229" s="499">
        <f>+C228+E$131</f>
        <v>6.4399999999999999E-2</v>
      </c>
      <c r="D229" s="435">
        <f t="shared" si="19"/>
        <v>9.9899999999999989E-2</v>
      </c>
      <c r="E229" s="435">
        <f t="shared" si="17"/>
        <v>9.9899999999999989E-2</v>
      </c>
      <c r="F229" s="552">
        <f>+Tables!G262</f>
        <v>33</v>
      </c>
      <c r="G229" s="44"/>
      <c r="H229" s="44"/>
      <c r="I229" s="696"/>
      <c r="J229" s="686"/>
      <c r="M229" s="686"/>
      <c r="N229" s="551"/>
      <c r="O229" s="551"/>
      <c r="P229" s="36"/>
    </row>
    <row r="230" spans="1:16" ht="12.75" customHeight="1">
      <c r="A230" s="25" t="s">
        <v>181</v>
      </c>
      <c r="B230" s="25" t="s">
        <v>182</v>
      </c>
      <c r="C230" s="499">
        <f>+VLOOKUP(B230,Product_IR,2,FALSE)</f>
        <v>6.4399999999999999E-2</v>
      </c>
      <c r="D230" s="435">
        <f t="shared" si="19"/>
        <v>9.9899999999999989E-2</v>
      </c>
      <c r="E230" s="435">
        <f t="shared" si="17"/>
        <v>9.9899999999999989E-2</v>
      </c>
      <c r="F230" s="552">
        <f>+Tables!G263</f>
        <v>33</v>
      </c>
      <c r="G230" s="44"/>
      <c r="H230" s="44"/>
      <c r="I230" s="696"/>
      <c r="J230" s="686"/>
      <c r="M230" s="686"/>
      <c r="N230" s="551"/>
      <c r="O230" s="551"/>
      <c r="P230" s="36"/>
    </row>
    <row r="231" spans="1:16" ht="12.75" customHeight="1">
      <c r="A231" s="25" t="s">
        <v>183</v>
      </c>
      <c r="B231" s="25" t="s">
        <v>184</v>
      </c>
      <c r="C231" s="499">
        <f>+C230+E$131</f>
        <v>6.6400000000000001E-2</v>
      </c>
      <c r="D231" s="435">
        <f t="shared" si="19"/>
        <v>9.9899999999999989E-2</v>
      </c>
      <c r="E231" s="435">
        <f t="shared" si="17"/>
        <v>9.9899999999999989E-2</v>
      </c>
      <c r="F231" s="552">
        <f>+Tables!G264</f>
        <v>33</v>
      </c>
      <c r="G231" s="44"/>
      <c r="H231" s="44"/>
      <c r="I231" s="696"/>
      <c r="J231" s="686"/>
      <c r="M231" s="686"/>
      <c r="N231" s="551"/>
      <c r="O231" s="551"/>
      <c r="P231" s="36"/>
    </row>
    <row r="232" spans="1:16" ht="12.75" customHeight="1">
      <c r="A232" s="25" t="s">
        <v>185</v>
      </c>
      <c r="B232" s="25" t="s">
        <v>186</v>
      </c>
      <c r="C232" s="499">
        <f>+VLOOKUP(B232,Product_IR,2,FALSE)</f>
        <v>6.1899999999999997E-2</v>
      </c>
      <c r="D232" s="435">
        <f t="shared" si="19"/>
        <v>9.9899999999999989E-2</v>
      </c>
      <c r="E232" s="435">
        <f t="shared" si="17"/>
        <v>9.9899999999999989E-2</v>
      </c>
      <c r="F232" s="552">
        <f>+Tables!G265</f>
        <v>33</v>
      </c>
      <c r="P232" s="36"/>
    </row>
    <row r="233" spans="1:16" ht="12.75" customHeight="1">
      <c r="A233" s="25" t="s">
        <v>187</v>
      </c>
      <c r="B233" s="25" t="s">
        <v>188</v>
      </c>
      <c r="C233" s="499">
        <f>+C232+E$131</f>
        <v>6.3899999999999998E-2</v>
      </c>
      <c r="D233" s="435">
        <f t="shared" si="19"/>
        <v>9.9899999999999989E-2</v>
      </c>
      <c r="E233" s="435">
        <f t="shared" si="17"/>
        <v>9.9899999999999989E-2</v>
      </c>
      <c r="F233" s="552">
        <f>+Tables!G266</f>
        <v>33</v>
      </c>
      <c r="P233" s="36"/>
    </row>
    <row r="234" spans="1:16" ht="12.75" customHeight="1">
      <c r="A234" s="25" t="s">
        <v>189</v>
      </c>
      <c r="B234" s="25" t="s">
        <v>190</v>
      </c>
      <c r="C234" s="499">
        <f>+VLOOKUP(B234,Product_IR,2,FALSE)</f>
        <v>6.8400000000000002E-2</v>
      </c>
      <c r="D234" s="435">
        <f t="shared" si="19"/>
        <v>9.9899999999999989E-2</v>
      </c>
      <c r="E234" s="435">
        <f t="shared" si="17"/>
        <v>9.9899999999999989E-2</v>
      </c>
      <c r="F234" s="552">
        <f>+Tables!G267</f>
        <v>33</v>
      </c>
      <c r="P234" s="36"/>
    </row>
    <row r="235" spans="1:16" ht="12.75" customHeight="1">
      <c r="A235" s="25" t="s">
        <v>191</v>
      </c>
      <c r="B235" s="25" t="s">
        <v>192</v>
      </c>
      <c r="C235" s="499">
        <f>+VLOOKUP(B235,Product_IR,2,FALSE)</f>
        <v>7.0400000000000004E-2</v>
      </c>
      <c r="D235" s="435">
        <f t="shared" si="19"/>
        <v>9.9899999999999989E-2</v>
      </c>
      <c r="E235" s="435">
        <f t="shared" si="17"/>
        <v>9.9899999999999989E-2</v>
      </c>
      <c r="F235" s="552">
        <f>+Tables!G268</f>
        <v>33</v>
      </c>
      <c r="P235" s="36"/>
    </row>
    <row r="236" spans="1:16" ht="12.75" customHeight="1">
      <c r="P236" s="36"/>
    </row>
    <row r="237" spans="1:16" ht="12.75" customHeight="1">
      <c r="A237" s="20" t="s">
        <v>203</v>
      </c>
      <c r="B237" s="20"/>
      <c r="P237" s="36"/>
    </row>
    <row r="238" spans="1:16" ht="12.75" customHeight="1">
      <c r="A238" s="18" t="s">
        <v>204</v>
      </c>
      <c r="B238" s="18"/>
      <c r="P238" s="36"/>
    </row>
    <row r="239" spans="1:16" ht="12.75" customHeight="1">
      <c r="A239" s="18" t="s">
        <v>205</v>
      </c>
      <c r="B239" s="18"/>
    </row>
    <row r="240" spans="1:16" ht="12.75" customHeight="1">
      <c r="A240" s="18" t="s">
        <v>206</v>
      </c>
      <c r="B240" s="18"/>
    </row>
    <row r="241" spans="1:21" ht="12.75" customHeight="1">
      <c r="I241" s="367"/>
      <c r="J241" s="367"/>
      <c r="K241" s="367"/>
      <c r="L241" s="367"/>
      <c r="M241" s="367"/>
    </row>
    <row r="242" spans="1:21" ht="12.75" customHeight="1">
      <c r="A242" s="20" t="s">
        <v>207</v>
      </c>
      <c r="B242" s="20"/>
      <c r="C242" s="19"/>
      <c r="E242" s="108" t="s">
        <v>208</v>
      </c>
      <c r="K242" s="367"/>
      <c r="L242" s="367"/>
      <c r="M242" s="367"/>
    </row>
    <row r="243" spans="1:21" ht="12.75" customHeight="1">
      <c r="A243" s="37" t="s">
        <v>209</v>
      </c>
      <c r="B243" s="35" t="s">
        <v>210</v>
      </c>
      <c r="C243" s="37">
        <v>1</v>
      </c>
      <c r="E243" s="37" t="s">
        <v>209</v>
      </c>
      <c r="F243" s="35" t="s">
        <v>210</v>
      </c>
      <c r="G243" s="37">
        <v>1</v>
      </c>
      <c r="K243" s="367"/>
      <c r="L243" s="367"/>
      <c r="M243" s="367"/>
    </row>
    <row r="244" spans="1:21" ht="12.75" customHeight="1">
      <c r="A244" s="37" t="s">
        <v>211</v>
      </c>
      <c r="B244" s="35" t="s">
        <v>212</v>
      </c>
      <c r="C244" s="37">
        <v>12</v>
      </c>
      <c r="E244" s="37" t="s">
        <v>213</v>
      </c>
      <c r="F244" s="35" t="s">
        <v>214</v>
      </c>
      <c r="G244" s="37">
        <v>2</v>
      </c>
      <c r="K244" s="30"/>
      <c r="L244" s="367"/>
      <c r="M244" s="367"/>
    </row>
    <row r="245" spans="1:21" ht="12.75" customHeight="1">
      <c r="A245" s="37" t="s">
        <v>215</v>
      </c>
      <c r="B245" s="35" t="s">
        <v>216</v>
      </c>
      <c r="C245" s="37">
        <v>24</v>
      </c>
      <c r="E245" s="37" t="s">
        <v>217</v>
      </c>
      <c r="F245" s="35" t="s">
        <v>218</v>
      </c>
      <c r="G245" s="37">
        <v>4</v>
      </c>
      <c r="K245" s="30"/>
      <c r="L245" s="367"/>
      <c r="M245" s="367"/>
    </row>
    <row r="246" spans="1:21" ht="12.75" customHeight="1">
      <c r="A246" s="37" t="s">
        <v>219</v>
      </c>
      <c r="B246" s="35" t="s">
        <v>220</v>
      </c>
      <c r="C246" s="37">
        <v>26</v>
      </c>
      <c r="E246" s="37" t="s">
        <v>211</v>
      </c>
      <c r="F246" s="35" t="s">
        <v>212</v>
      </c>
      <c r="G246" s="37">
        <v>12</v>
      </c>
      <c r="K246" s="367"/>
      <c r="L246" s="367"/>
      <c r="M246" s="367"/>
    </row>
    <row r="247" spans="1:21" ht="12.75" customHeight="1">
      <c r="A247" s="37" t="s">
        <v>221</v>
      </c>
      <c r="B247" s="35" t="s">
        <v>222</v>
      </c>
      <c r="C247" s="37">
        <v>52</v>
      </c>
      <c r="E247" s="37" t="s">
        <v>215</v>
      </c>
      <c r="F247" s="35" t="s">
        <v>216</v>
      </c>
      <c r="G247" s="37">
        <v>24</v>
      </c>
      <c r="K247" s="367"/>
      <c r="L247" s="367"/>
      <c r="M247" s="367"/>
    </row>
    <row r="248" spans="1:21" ht="12.75" customHeight="1">
      <c r="A248" s="18" t="s">
        <v>223</v>
      </c>
      <c r="B248" s="18"/>
      <c r="C248" s="19"/>
      <c r="E248" s="37" t="s">
        <v>219</v>
      </c>
      <c r="F248" s="35" t="s">
        <v>220</v>
      </c>
      <c r="G248" s="37">
        <v>26</v>
      </c>
      <c r="K248" s="367"/>
      <c r="L248" s="367"/>
      <c r="M248" s="367"/>
    </row>
    <row r="249" spans="1:21" ht="12.75" customHeight="1">
      <c r="A249" s="18"/>
      <c r="B249" s="18"/>
      <c r="C249" s="19"/>
      <c r="E249" s="37" t="s">
        <v>221</v>
      </c>
      <c r="F249" s="35" t="s">
        <v>222</v>
      </c>
      <c r="G249" s="37">
        <v>52</v>
      </c>
      <c r="K249" s="367"/>
      <c r="L249" s="367"/>
      <c r="M249" s="367"/>
    </row>
    <row r="250" spans="1:21" ht="12.75" customHeight="1">
      <c r="A250" s="34" t="s">
        <v>224</v>
      </c>
      <c r="B250" s="34" t="s">
        <v>13</v>
      </c>
      <c r="C250" s="108" t="s">
        <v>225</v>
      </c>
      <c r="D250" s="27" t="s">
        <v>226</v>
      </c>
      <c r="H250" s="109" t="s">
        <v>227</v>
      </c>
      <c r="J250" s="686"/>
      <c r="K250" s="686"/>
      <c r="L250" s="686"/>
      <c r="O250" s="45"/>
      <c r="P250" s="45"/>
      <c r="Q250" s="45"/>
    </row>
    <row r="251" spans="1:21" ht="12.75" customHeight="1">
      <c r="A251" s="20" t="s">
        <v>228</v>
      </c>
      <c r="B251" s="84">
        <f>+Broker!C50</f>
        <v>0</v>
      </c>
      <c r="C251" s="27">
        <f>+Broker!J20</f>
        <v>0</v>
      </c>
      <c r="D251" s="19" t="str">
        <f>+CONCATENATE(Broker!J16,"+",Broker!J17)</f>
        <v>+0</v>
      </c>
      <c r="E251" s="35" t="e">
        <f>+VLOOKUP(B251,A254:A267,1,TRUE)</f>
        <v>#N/A</v>
      </c>
      <c r="F251" s="35" t="e">
        <f>+VLOOKUP(E251,A254:B268,2,FALSE)</f>
        <v>#N/A</v>
      </c>
      <c r="G251" s="35" t="str">
        <f>+CONCATENATE(C251,D251)</f>
        <v>0+0</v>
      </c>
      <c r="H251" s="114" t="e">
        <f>+VLOOKUP(G251,LIVING,F251,FALSE)*52/12</f>
        <v>#N/A</v>
      </c>
      <c r="J251" s="687"/>
      <c r="K251" s="687"/>
      <c r="L251" s="687"/>
      <c r="O251"/>
      <c r="P251"/>
      <c r="Q251"/>
      <c r="R251"/>
      <c r="S251"/>
      <c r="T251"/>
      <c r="U251"/>
    </row>
    <row r="252" spans="1:21" ht="12.75" customHeight="1">
      <c r="A252" s="20"/>
      <c r="B252" s="84"/>
      <c r="C252" s="27"/>
      <c r="D252" s="19"/>
      <c r="H252" s="94"/>
      <c r="J252" s="687"/>
      <c r="K252" s="687"/>
      <c r="L252" s="687"/>
      <c r="O252"/>
      <c r="P252"/>
      <c r="Q252"/>
      <c r="R252"/>
      <c r="S252"/>
      <c r="T252"/>
      <c r="U252"/>
    </row>
    <row r="253" spans="1:21" ht="12.75" customHeight="1">
      <c r="A253" s="45" t="s">
        <v>229</v>
      </c>
      <c r="B253" s="45"/>
      <c r="C253" s="37"/>
      <c r="E253" s="38"/>
      <c r="H253" s="41"/>
      <c r="I253" s="861"/>
      <c r="J253" s="861"/>
      <c r="K253" s="861"/>
      <c r="L253" s="861"/>
    </row>
    <row r="254" spans="1:21" ht="12.75" customHeight="1">
      <c r="A254" s="139">
        <f>+Tables!A287</f>
        <v>1</v>
      </c>
      <c r="B254" s="37">
        <v>2</v>
      </c>
      <c r="C254" s="37" t="s">
        <v>230</v>
      </c>
      <c r="E254" s="38"/>
      <c r="H254" s="41"/>
      <c r="I254" s="112"/>
      <c r="J254" s="688"/>
      <c r="K254" s="112"/>
      <c r="L254" s="688"/>
    </row>
    <row r="255" spans="1:21" ht="12.75" customHeight="1">
      <c r="A255" s="139">
        <f>+Tables!A288</f>
        <v>26000</v>
      </c>
      <c r="B255" s="37">
        <v>3</v>
      </c>
      <c r="C255" s="37" t="s">
        <v>231</v>
      </c>
      <c r="E255" s="38"/>
      <c r="H255" s="41"/>
      <c r="I255" s="688"/>
      <c r="J255" s="688"/>
      <c r="K255" s="688"/>
      <c r="L255" s="688"/>
    </row>
    <row r="256" spans="1:21" ht="12.75" customHeight="1">
      <c r="A256" s="139">
        <f>+Tables!A289</f>
        <v>39000</v>
      </c>
      <c r="B256" s="37">
        <v>4</v>
      </c>
      <c r="C256" s="37" t="s">
        <v>232</v>
      </c>
      <c r="E256" s="38"/>
      <c r="H256" s="41"/>
      <c r="I256" s="688"/>
      <c r="J256" s="688"/>
      <c r="K256" s="688"/>
      <c r="L256" s="688"/>
    </row>
    <row r="257" spans="1:12" ht="12.75" customHeight="1">
      <c r="A257" s="139">
        <f>+Tables!A290</f>
        <v>52000</v>
      </c>
      <c r="B257" s="37">
        <v>5</v>
      </c>
      <c r="C257" s="37" t="s">
        <v>233</v>
      </c>
      <c r="E257" s="38"/>
      <c r="H257" s="41"/>
      <c r="I257" s="688"/>
      <c r="J257" s="688"/>
      <c r="K257" s="688"/>
      <c r="L257" s="688"/>
    </row>
    <row r="258" spans="1:12" ht="12.75" customHeight="1">
      <c r="A258" s="139">
        <f>+Tables!A291</f>
        <v>66000</v>
      </c>
      <c r="B258" s="37">
        <v>6</v>
      </c>
      <c r="C258" s="37" t="s">
        <v>234</v>
      </c>
      <c r="E258" s="38"/>
      <c r="H258" s="41"/>
      <c r="I258" s="688"/>
      <c r="J258" s="688"/>
      <c r="K258" s="688"/>
      <c r="L258" s="688"/>
    </row>
    <row r="259" spans="1:12" ht="12.75" customHeight="1">
      <c r="A259" s="139">
        <f>+Tables!A292</f>
        <v>79000</v>
      </c>
      <c r="B259" s="37">
        <v>7</v>
      </c>
      <c r="C259" s="37" t="s">
        <v>235</v>
      </c>
      <c r="E259" s="38"/>
      <c r="H259" s="41"/>
      <c r="I259" s="688"/>
      <c r="J259" s="688"/>
      <c r="K259" s="688"/>
      <c r="L259" s="688"/>
    </row>
    <row r="260" spans="1:12" ht="12.75" customHeight="1">
      <c r="A260" s="139">
        <f>+Tables!A293</f>
        <v>105000</v>
      </c>
      <c r="B260" s="37">
        <v>8</v>
      </c>
      <c r="C260" s="37" t="s">
        <v>236</v>
      </c>
      <c r="E260" s="38"/>
    </row>
    <row r="261" spans="1:12" ht="12.75" customHeight="1">
      <c r="A261" s="139">
        <f>+Tables!A294</f>
        <v>131000</v>
      </c>
      <c r="B261" s="37">
        <v>9</v>
      </c>
      <c r="C261" s="37" t="s">
        <v>237</v>
      </c>
      <c r="E261" s="38"/>
    </row>
    <row r="262" spans="1:12" ht="12.75" customHeight="1">
      <c r="A262" s="139">
        <f>+Tables!A295</f>
        <v>157000</v>
      </c>
      <c r="B262" s="37">
        <v>10</v>
      </c>
      <c r="C262" s="37" t="s">
        <v>238</v>
      </c>
      <c r="E262" s="38"/>
    </row>
    <row r="263" spans="1:12" ht="12.75" customHeight="1">
      <c r="A263" s="139">
        <f>+Tables!A296</f>
        <v>184000</v>
      </c>
      <c r="B263" s="37">
        <v>11</v>
      </c>
      <c r="C263" s="37" t="s">
        <v>239</v>
      </c>
      <c r="E263" s="38"/>
    </row>
    <row r="264" spans="1:12" ht="12.75" customHeight="1">
      <c r="A264" s="139">
        <f>+Tables!A297</f>
        <v>210000</v>
      </c>
      <c r="B264" s="37">
        <v>12</v>
      </c>
      <c r="C264" s="37" t="s">
        <v>240</v>
      </c>
      <c r="E264" s="38"/>
    </row>
    <row r="265" spans="1:12" ht="12.75" customHeight="1">
      <c r="A265" s="139">
        <f>+Tables!A298</f>
        <v>262000</v>
      </c>
      <c r="B265" s="37">
        <v>13</v>
      </c>
      <c r="C265" s="37" t="s">
        <v>241</v>
      </c>
    </row>
    <row r="266" spans="1:12" ht="12.75" customHeight="1">
      <c r="A266" s="139">
        <f>+Tables!A299</f>
        <v>328000</v>
      </c>
      <c r="B266" s="37">
        <v>14</v>
      </c>
      <c r="C266" s="37" t="s">
        <v>242</v>
      </c>
    </row>
    <row r="267" spans="1:12" ht="12.75" customHeight="1">
      <c r="A267" s="139">
        <f>+Tables!A300</f>
        <v>394000</v>
      </c>
      <c r="B267" s="37">
        <v>15</v>
      </c>
      <c r="C267" s="37" t="s">
        <v>243</v>
      </c>
    </row>
    <row r="268" spans="1:12" ht="12.75" customHeight="1">
      <c r="A268" s="148"/>
    </row>
    <row r="271" spans="1:12" ht="12.75" customHeight="1">
      <c r="A271" s="20" t="s">
        <v>244</v>
      </c>
      <c r="B271" s="20"/>
      <c r="H271" s="106"/>
      <c r="I271" s="689"/>
    </row>
    <row r="272" spans="1:12" ht="12.75" customHeight="1">
      <c r="A272" s="135">
        <f>+Tables!A305</f>
        <v>18200</v>
      </c>
      <c r="B272" s="133">
        <f>+Tables!B305</f>
        <v>0</v>
      </c>
      <c r="C272" s="136">
        <f>+Tables!C305</f>
        <v>0</v>
      </c>
      <c r="D272" s="19"/>
      <c r="H272" s="103"/>
      <c r="I272" s="697"/>
    </row>
    <row r="273" spans="1:12" ht="12.75" customHeight="1">
      <c r="A273" s="135">
        <f>+Tables!A306</f>
        <v>45000</v>
      </c>
      <c r="B273" s="133">
        <f>+Tables!B306</f>
        <v>0.16</v>
      </c>
      <c r="C273" s="136">
        <f>+Tables!C306</f>
        <v>4288</v>
      </c>
      <c r="D273" s="19"/>
      <c r="H273" s="104"/>
      <c r="I273" s="166"/>
    </row>
    <row r="274" spans="1:12" ht="12.75" customHeight="1">
      <c r="A274" s="135">
        <f>+Tables!A307</f>
        <v>135000</v>
      </c>
      <c r="B274" s="133">
        <f>+Tables!B307</f>
        <v>0.3</v>
      </c>
      <c r="C274" s="136">
        <f>+Tables!C307</f>
        <v>31288</v>
      </c>
      <c r="D274" s="19"/>
      <c r="H274" s="104"/>
      <c r="I274" s="697"/>
    </row>
    <row r="275" spans="1:12" ht="12.75" customHeight="1">
      <c r="A275" s="135">
        <f>+Tables!A308</f>
        <v>190000</v>
      </c>
      <c r="B275" s="133">
        <f>+Tables!B308</f>
        <v>0.37</v>
      </c>
      <c r="C275" s="136">
        <f>+Tables!C308</f>
        <v>51638</v>
      </c>
      <c r="D275" s="19"/>
      <c r="H275" s="104"/>
      <c r="I275" s="697"/>
    </row>
    <row r="276" spans="1:12" ht="12.75" customHeight="1">
      <c r="A276" s="137"/>
      <c r="B276" s="133">
        <f>+Tables!B309</f>
        <v>0.45</v>
      </c>
      <c r="C276" s="136">
        <f>+Tables!C309</f>
        <v>0</v>
      </c>
      <c r="D276" s="19"/>
      <c r="E276" s="19"/>
      <c r="H276" s="104"/>
      <c r="I276" s="697"/>
      <c r="J276" s="367"/>
    </row>
    <row r="277" spans="1:12" ht="12.75" customHeight="1">
      <c r="A277" s="29" t="s">
        <v>91</v>
      </c>
      <c r="B277" s="29"/>
      <c r="C277" s="19"/>
      <c r="D277" s="19"/>
      <c r="E277" s="19"/>
      <c r="H277" s="104"/>
      <c r="I277" s="697"/>
      <c r="J277" s="367"/>
    </row>
    <row r="278" spans="1:12" ht="12.75" customHeight="1">
      <c r="A278" s="28" t="s">
        <v>245</v>
      </c>
      <c r="B278" s="134">
        <f>+Tables!B311</f>
        <v>0.02</v>
      </c>
      <c r="C278" s="134">
        <f>+Tables!C311</f>
        <v>0</v>
      </c>
      <c r="E278" s="19"/>
      <c r="H278" s="105"/>
      <c r="I278" s="689"/>
      <c r="J278" s="367"/>
    </row>
    <row r="279" spans="1:12" ht="12.75" customHeight="1">
      <c r="A279" s="28" t="s">
        <v>246</v>
      </c>
      <c r="B279" s="35"/>
      <c r="C279" s="19"/>
      <c r="E279" s="19"/>
      <c r="H279" s="105"/>
      <c r="I279" s="689"/>
      <c r="J279" s="367"/>
    </row>
    <row r="280" spans="1:12" ht="12.75" customHeight="1">
      <c r="A280" s="28" t="s">
        <v>74</v>
      </c>
      <c r="B280" s="133">
        <f>+Tables!B313</f>
        <v>27222</v>
      </c>
      <c r="C280" s="19"/>
      <c r="E280" s="19"/>
      <c r="H280" s="43"/>
      <c r="I280" s="112"/>
    </row>
    <row r="281" spans="1:12" ht="12.75" customHeight="1">
      <c r="A281" s="28" t="s">
        <v>75</v>
      </c>
      <c r="B281" s="133">
        <f>+Tables!B314</f>
        <v>34027</v>
      </c>
      <c r="C281" s="19"/>
      <c r="E281" s="19"/>
      <c r="H281" s="106"/>
      <c r="I281" s="698"/>
    </row>
    <row r="282" spans="1:12" ht="12.75" customHeight="1">
      <c r="H282" s="102"/>
      <c r="I282" s="698"/>
    </row>
    <row r="283" spans="1:12" ht="12.75" customHeight="1">
      <c r="A283" s="29" t="s">
        <v>247</v>
      </c>
      <c r="C283" s="35" t="str">
        <f>+Broker!J18</f>
        <v>Yes</v>
      </c>
      <c r="D283" s="45">
        <f>IF(C283="yes",0,IF(C283="N/A",0,+(C285*F285)+(E284*D285)))</f>
        <v>0</v>
      </c>
      <c r="H283" s="102"/>
      <c r="I283" s="698"/>
    </row>
    <row r="284" spans="1:12" ht="12.75" customHeight="1">
      <c r="D284" s="35" t="s">
        <v>248</v>
      </c>
      <c r="E284" s="117">
        <f>+IF(Broker!J17=0,0,IF(Broker!J17=1,0,Broker!J17-1))</f>
        <v>0</v>
      </c>
      <c r="H284" s="42"/>
    </row>
    <row r="285" spans="1:12" ht="12.75" customHeight="1">
      <c r="A285" s="37" t="s">
        <v>249</v>
      </c>
      <c r="B285" s="37" t="str">
        <f>+IF(D251="1+0","Single","Family")</f>
        <v>Family</v>
      </c>
      <c r="C285" s="45">
        <f>+B251</f>
        <v>0</v>
      </c>
      <c r="D285" s="133">
        <f>+Tables!D318</f>
        <v>1500</v>
      </c>
      <c r="E285" s="35" t="e">
        <f>+IF(B285="single",VLOOKUP(C285,A287:A291,1,TRUE),IF(B285="Family",VLOOKUP(C285,A294:A298,1,TRUE),0))</f>
        <v>#N/A</v>
      </c>
      <c r="F285" s="32" t="e">
        <f>+IF(B285="single",VLOOKUP(E285,A287:B291,2,TRUE),IF(B285="Family",VLOOKUP(E285,A294:B298,2,TRUE),0))</f>
        <v>#N/A</v>
      </c>
      <c r="H285" s="165"/>
      <c r="I285" s="689"/>
      <c r="J285" s="689"/>
      <c r="K285" s="689"/>
      <c r="L285" s="689"/>
    </row>
    <row r="286" spans="1:12" ht="12.75" customHeight="1">
      <c r="A286" s="37" t="s">
        <v>250</v>
      </c>
      <c r="B286" s="35"/>
      <c r="H286" s="862"/>
      <c r="I286" s="863"/>
      <c r="J286" s="863"/>
      <c r="K286" s="863"/>
      <c r="L286" s="863"/>
    </row>
    <row r="287" spans="1:12" ht="12.75" customHeight="1">
      <c r="A287" s="135">
        <f>+Tables!A320</f>
        <v>1</v>
      </c>
      <c r="B287" s="143">
        <f>+Tables!B320</f>
        <v>0</v>
      </c>
      <c r="C287" s="170"/>
      <c r="H287" s="104"/>
      <c r="I287" s="166"/>
      <c r="J287" s="166"/>
      <c r="K287" s="166"/>
      <c r="L287" s="166"/>
    </row>
    <row r="288" spans="1:12" ht="12.75" customHeight="1">
      <c r="A288" s="135">
        <f>+Tables!A321</f>
        <v>101000</v>
      </c>
      <c r="B288" s="143">
        <f>+Tables!B321</f>
        <v>0</v>
      </c>
      <c r="C288" s="170"/>
      <c r="H288" s="103"/>
      <c r="I288" s="166"/>
      <c r="J288" s="166"/>
      <c r="K288" s="166"/>
      <c r="L288" s="166"/>
    </row>
    <row r="289" spans="1:15" ht="12.75" customHeight="1">
      <c r="A289" s="135">
        <f>+Tables!A322</f>
        <v>101001</v>
      </c>
      <c r="B289" s="143">
        <f>+Tables!B322</f>
        <v>0.01</v>
      </c>
      <c r="C289" s="170"/>
      <c r="H289" s="103"/>
      <c r="I289" s="166"/>
      <c r="J289" s="166"/>
      <c r="K289" s="166"/>
      <c r="L289" s="166"/>
    </row>
    <row r="290" spans="1:15" ht="12.75" customHeight="1">
      <c r="A290" s="135">
        <f>+Tables!A323</f>
        <v>118001</v>
      </c>
      <c r="B290" s="143">
        <f>+Tables!B323</f>
        <v>1.2500000000000001E-2</v>
      </c>
      <c r="C290" s="170"/>
      <c r="H290" s="103"/>
      <c r="I290" s="167"/>
      <c r="J290" s="167"/>
      <c r="K290" s="168"/>
      <c r="L290" s="168"/>
    </row>
    <row r="291" spans="1:15" ht="12.75" customHeight="1">
      <c r="A291" s="135">
        <f>+Tables!A324</f>
        <v>158001</v>
      </c>
      <c r="B291" s="143">
        <f>+Tables!B324</f>
        <v>1.4999999999999999E-2</v>
      </c>
      <c r="C291" s="170"/>
      <c r="H291" s="169"/>
      <c r="I291" s="689"/>
      <c r="J291" s="689"/>
      <c r="K291" s="689"/>
      <c r="L291" s="689"/>
    </row>
    <row r="292" spans="1:15" ht="12.75" customHeight="1">
      <c r="G292" s="19"/>
      <c r="H292" s="101"/>
      <c r="I292" s="698"/>
      <c r="J292" s="367"/>
      <c r="K292" s="367"/>
      <c r="L292" s="367"/>
      <c r="M292" s="367"/>
      <c r="N292" s="19"/>
      <c r="O292" s="19"/>
    </row>
    <row r="293" spans="1:15" ht="12.75" customHeight="1">
      <c r="A293" s="37" t="s">
        <v>226</v>
      </c>
      <c r="G293" s="19"/>
      <c r="H293" s="101"/>
      <c r="I293" s="698"/>
      <c r="J293" s="367"/>
      <c r="K293" s="367"/>
      <c r="L293" s="367"/>
      <c r="M293" s="367"/>
      <c r="N293" s="19"/>
      <c r="O293" s="19"/>
    </row>
    <row r="294" spans="1:15" ht="12.75" customHeight="1">
      <c r="A294" s="135">
        <f>+Tables!A327</f>
        <v>1</v>
      </c>
      <c r="B294" s="143">
        <f>+Tables!B327</f>
        <v>0</v>
      </c>
      <c r="C294" s="170"/>
      <c r="D294" s="170"/>
      <c r="G294" s="19"/>
      <c r="H294" s="102"/>
      <c r="I294" s="687"/>
      <c r="J294" s="367"/>
      <c r="K294" s="367"/>
      <c r="L294" s="367"/>
      <c r="M294" s="367"/>
      <c r="N294" s="19"/>
      <c r="O294" s="19"/>
    </row>
    <row r="295" spans="1:15" ht="12.75" customHeight="1">
      <c r="A295" s="135">
        <f>+Tables!A328</f>
        <v>202000</v>
      </c>
      <c r="B295" s="143">
        <f>+Tables!B328</f>
        <v>0</v>
      </c>
      <c r="C295" s="170"/>
      <c r="D295" s="170"/>
      <c r="G295" s="19"/>
      <c r="H295" s="102"/>
      <c r="I295" s="687"/>
      <c r="J295" s="367"/>
      <c r="K295" s="367"/>
      <c r="L295" s="367"/>
      <c r="M295" s="367"/>
      <c r="N295" s="19"/>
      <c r="O295" s="19"/>
    </row>
    <row r="296" spans="1:15" ht="12.75" customHeight="1">
      <c r="A296" s="135">
        <f>+Tables!A329</f>
        <v>202001</v>
      </c>
      <c r="B296" s="143">
        <f>+Tables!B329</f>
        <v>0.01</v>
      </c>
      <c r="C296" s="170"/>
      <c r="D296" s="170"/>
      <c r="G296" s="19"/>
      <c r="H296" s="19"/>
      <c r="I296" s="367"/>
      <c r="J296" s="367"/>
      <c r="K296" s="367"/>
      <c r="L296" s="367"/>
      <c r="M296" s="367"/>
      <c r="N296" s="19"/>
      <c r="O296" s="19"/>
    </row>
    <row r="297" spans="1:15" ht="12.75" customHeight="1">
      <c r="A297" s="135">
        <f>+Tables!A330</f>
        <v>236001</v>
      </c>
      <c r="B297" s="143">
        <f>+Tables!B330</f>
        <v>1.2500000000000001E-2</v>
      </c>
      <c r="C297" s="170"/>
      <c r="D297" s="170"/>
      <c r="G297" s="19"/>
      <c r="H297" s="19"/>
      <c r="I297" s="367"/>
      <c r="J297" s="367"/>
      <c r="K297" s="367"/>
      <c r="L297" s="367"/>
      <c r="M297" s="367"/>
      <c r="N297" s="19"/>
      <c r="O297" s="19"/>
    </row>
    <row r="298" spans="1:15" ht="12.75" customHeight="1">
      <c r="A298" s="135">
        <f>+Tables!A331</f>
        <v>316001</v>
      </c>
      <c r="B298" s="143">
        <f>+Tables!B331</f>
        <v>1.4999999999999999E-2</v>
      </c>
      <c r="C298" s="170"/>
      <c r="D298" s="170"/>
      <c r="G298" s="19"/>
      <c r="H298" s="19"/>
      <c r="I298" s="367"/>
      <c r="J298" s="367"/>
      <c r="K298" s="367"/>
      <c r="L298" s="367"/>
      <c r="M298" s="367"/>
      <c r="N298" s="19"/>
      <c r="O298" s="19"/>
    </row>
    <row r="299" spans="1:15" ht="12.75" customHeight="1">
      <c r="F299" s="19"/>
      <c r="G299" s="19"/>
      <c r="H299" s="19"/>
      <c r="I299" s="367"/>
      <c r="J299" s="367"/>
      <c r="K299" s="367"/>
      <c r="L299" s="367"/>
      <c r="M299" s="367"/>
      <c r="N299" s="19"/>
      <c r="O299" s="19"/>
    </row>
    <row r="300" spans="1:15" ht="12.75" customHeight="1">
      <c r="A300" s="34" t="s">
        <v>5</v>
      </c>
      <c r="B300" s="34"/>
      <c r="F300" s="19"/>
      <c r="G300" s="19"/>
      <c r="H300" s="19"/>
      <c r="I300" s="367"/>
      <c r="J300" s="367"/>
      <c r="N300" s="19"/>
      <c r="O300" s="19"/>
    </row>
    <row r="301" spans="1:15" ht="12.75" customHeight="1">
      <c r="A301" s="18" t="s">
        <v>251</v>
      </c>
      <c r="B301" s="18"/>
      <c r="C301" s="35" t="s">
        <v>11</v>
      </c>
      <c r="F301" s="19"/>
      <c r="G301" s="19"/>
      <c r="H301" s="19"/>
      <c r="I301" s="367"/>
      <c r="J301" s="367"/>
      <c r="N301" s="19"/>
      <c r="O301" s="19"/>
    </row>
    <row r="302" spans="1:15" ht="12.75" customHeight="1">
      <c r="A302" s="18" t="s">
        <v>252</v>
      </c>
      <c r="B302" s="18"/>
      <c r="C302" s="35" t="s">
        <v>12</v>
      </c>
      <c r="F302" s="19"/>
      <c r="G302" s="19"/>
      <c r="H302" s="19"/>
      <c r="I302" s="367"/>
      <c r="J302" s="367"/>
      <c r="N302" s="19"/>
      <c r="O302" s="19"/>
    </row>
    <row r="303" spans="1:15" ht="12.75" customHeight="1">
      <c r="A303" s="18" t="s">
        <v>253</v>
      </c>
      <c r="B303" s="18"/>
      <c r="F303" s="19"/>
      <c r="G303" s="19"/>
      <c r="H303" s="19"/>
      <c r="I303" s="367"/>
      <c r="J303" s="367"/>
      <c r="N303" s="19"/>
      <c r="O303" s="19"/>
    </row>
    <row r="304" spans="1:15" ht="12.75" customHeight="1">
      <c r="A304" s="18" t="s">
        <v>254</v>
      </c>
      <c r="B304" s="18"/>
      <c r="F304" s="19"/>
      <c r="G304" s="19"/>
      <c r="H304" s="19"/>
      <c r="I304" s="367"/>
      <c r="J304" s="367"/>
      <c r="N304" s="19"/>
      <c r="O304" s="19"/>
    </row>
    <row r="305" spans="1:15" ht="12.75" customHeight="1">
      <c r="A305" s="18" t="s">
        <v>255</v>
      </c>
      <c r="B305" s="18"/>
      <c r="F305" s="19"/>
      <c r="G305" s="19"/>
      <c r="H305" s="19"/>
      <c r="I305" s="367"/>
      <c r="J305" s="367"/>
      <c r="N305" s="19"/>
      <c r="O305" s="19"/>
    </row>
    <row r="306" spans="1:15" ht="12.75" customHeight="1">
      <c r="F306" s="19"/>
      <c r="G306" s="19"/>
      <c r="H306" s="19"/>
      <c r="I306" s="367"/>
      <c r="J306" s="367"/>
      <c r="N306" s="19"/>
      <c r="O306" s="19"/>
    </row>
    <row r="307" spans="1:15" ht="12.75" customHeight="1">
      <c r="A307" s="20" t="s">
        <v>256</v>
      </c>
      <c r="B307" s="20"/>
      <c r="F307" s="19"/>
      <c r="G307" s="19"/>
      <c r="H307" s="19"/>
      <c r="I307" s="367"/>
      <c r="J307" s="367"/>
      <c r="N307" s="19"/>
      <c r="O307" s="19"/>
    </row>
    <row r="308" spans="1:15" ht="12.75" customHeight="1">
      <c r="A308" s="18" t="s">
        <v>257</v>
      </c>
      <c r="B308" s="18"/>
      <c r="C308" s="30">
        <v>0.5</v>
      </c>
      <c r="D308" s="19"/>
      <c r="E308" s="19"/>
      <c r="F308" s="19"/>
      <c r="G308" s="19"/>
      <c r="H308" s="19"/>
      <c r="I308" s="367"/>
      <c r="J308" s="367"/>
      <c r="N308" s="19"/>
      <c r="O308" s="19"/>
    </row>
    <row r="309" spans="1:15" ht="12.75" customHeight="1">
      <c r="A309" s="18" t="s">
        <v>258</v>
      </c>
      <c r="B309" s="18"/>
      <c r="C309" s="30">
        <v>0.8</v>
      </c>
      <c r="D309" s="19"/>
      <c r="E309" s="19"/>
      <c r="F309" s="19"/>
      <c r="G309" s="19"/>
      <c r="H309" s="19"/>
      <c r="I309" s="367"/>
      <c r="J309" s="367"/>
      <c r="N309" s="19"/>
      <c r="O309" s="19"/>
    </row>
    <row r="310" spans="1:15" ht="12.75" customHeight="1">
      <c r="A310" s="18"/>
      <c r="B310" s="18"/>
      <c r="C310" s="367"/>
      <c r="D310" s="19"/>
      <c r="E310" s="19"/>
      <c r="F310" s="19"/>
      <c r="G310" s="19"/>
      <c r="H310" s="19"/>
      <c r="I310" s="367"/>
      <c r="J310" s="367"/>
      <c r="N310" s="19"/>
      <c r="O310" s="19"/>
    </row>
    <row r="311" spans="1:15" ht="12.75" customHeight="1">
      <c r="A311" s="20" t="s">
        <v>26</v>
      </c>
      <c r="B311" s="20"/>
      <c r="C311" s="367"/>
      <c r="D311" s="19"/>
      <c r="E311" s="19"/>
      <c r="F311" s="19"/>
      <c r="G311" s="19"/>
      <c r="H311" s="32"/>
      <c r="I311" s="699"/>
      <c r="J311" s="367"/>
      <c r="K311" s="367"/>
      <c r="N311" s="19"/>
      <c r="O311" s="19"/>
    </row>
    <row r="312" spans="1:15" ht="12.75" customHeight="1">
      <c r="A312" s="18" t="s">
        <v>259</v>
      </c>
      <c r="B312" s="18"/>
      <c r="C312" s="30">
        <v>0.8</v>
      </c>
      <c r="D312" s="19"/>
      <c r="E312" s="19"/>
      <c r="F312" s="19"/>
      <c r="G312" s="38"/>
      <c r="H312" s="32"/>
      <c r="I312" s="699"/>
      <c r="J312" s="367"/>
      <c r="K312" s="367"/>
      <c r="N312" s="19"/>
      <c r="O312" s="19"/>
    </row>
    <row r="313" spans="1:15" ht="12.75" customHeight="1">
      <c r="A313" s="18" t="s">
        <v>260</v>
      </c>
      <c r="B313" s="18"/>
      <c r="C313" s="30">
        <v>1</v>
      </c>
      <c r="D313" s="19"/>
      <c r="E313" s="19"/>
      <c r="F313" s="19"/>
      <c r="G313" s="38"/>
      <c r="H313" s="32"/>
      <c r="I313" s="699"/>
      <c r="J313" s="690"/>
      <c r="K313" s="690"/>
      <c r="L313" s="367"/>
      <c r="N313" s="19"/>
      <c r="O313" s="19"/>
    </row>
    <row r="314" spans="1:15" ht="12.75" customHeight="1">
      <c r="A314" s="18"/>
      <c r="B314" s="18"/>
      <c r="C314" s="367"/>
      <c r="D314" s="19"/>
      <c r="E314" s="19"/>
      <c r="F314" s="19"/>
      <c r="G314" s="38"/>
      <c r="H314" s="32"/>
      <c r="I314" s="699"/>
      <c r="J314" s="690"/>
      <c r="K314" s="690"/>
      <c r="L314" s="367"/>
      <c r="N314" s="19"/>
      <c r="O314" s="19"/>
    </row>
    <row r="315" spans="1:15" ht="12.75" customHeight="1">
      <c r="A315" s="20" t="s">
        <v>261</v>
      </c>
      <c r="B315" s="20"/>
      <c r="C315" s="367"/>
      <c r="D315" s="19"/>
      <c r="E315" s="19"/>
      <c r="F315" s="19"/>
      <c r="G315" s="38"/>
      <c r="H315" s="32"/>
      <c r="I315" s="699"/>
      <c r="J315" s="690"/>
      <c r="K315" s="690"/>
      <c r="L315" s="367"/>
      <c r="N315" s="19"/>
      <c r="O315" s="19"/>
    </row>
    <row r="316" spans="1:15" ht="12.75" customHeight="1">
      <c r="A316" s="18"/>
      <c r="B316" s="18"/>
      <c r="C316" s="367" t="s">
        <v>262</v>
      </c>
      <c r="D316" s="367" t="s">
        <v>262</v>
      </c>
      <c r="E316" s="367" t="s">
        <v>262</v>
      </c>
      <c r="F316" s="19"/>
      <c r="G316" s="38"/>
      <c r="H316" s="32"/>
      <c r="I316" s="699"/>
      <c r="J316" s="690"/>
      <c r="K316" s="690"/>
      <c r="L316" s="367"/>
      <c r="N316" s="19"/>
      <c r="O316" s="19"/>
    </row>
    <row r="317" spans="1:15" ht="12.75" customHeight="1">
      <c r="A317" s="18"/>
      <c r="B317" s="18"/>
      <c r="C317" s="30">
        <v>0.5</v>
      </c>
      <c r="D317" s="19" t="s">
        <v>263</v>
      </c>
      <c r="E317" s="19"/>
      <c r="F317" s="19"/>
      <c r="G317" s="38"/>
      <c r="H317" s="32"/>
      <c r="I317" s="699"/>
      <c r="J317" s="690"/>
      <c r="K317" s="690"/>
      <c r="L317" s="367"/>
      <c r="N317" s="19"/>
      <c r="O317" s="19"/>
    </row>
    <row r="318" spans="1:15" ht="12.75" customHeight="1">
      <c r="A318" s="18"/>
      <c r="B318" s="18"/>
      <c r="C318" s="30"/>
      <c r="D318" s="19"/>
      <c r="E318" s="19"/>
      <c r="G318" s="38"/>
      <c r="H318" s="32"/>
      <c r="I318" s="699"/>
      <c r="J318" s="690"/>
      <c r="K318" s="690"/>
      <c r="L318" s="367"/>
      <c r="N318" s="19"/>
      <c r="O318" s="19"/>
    </row>
    <row r="319" spans="1:15" ht="12.75" customHeight="1">
      <c r="A319" s="20" t="s">
        <v>264</v>
      </c>
      <c r="B319" s="18"/>
      <c r="C319" s="132">
        <f>+Tables!C376</f>
        <v>500</v>
      </c>
      <c r="D319" s="19"/>
      <c r="E319" s="19"/>
      <c r="G319" s="38"/>
      <c r="H319" s="32"/>
      <c r="I319" s="699"/>
      <c r="J319" s="690"/>
      <c r="K319" s="690"/>
      <c r="L319" s="367"/>
      <c r="N319" s="19"/>
      <c r="O319" s="19"/>
    </row>
    <row r="320" spans="1:15" ht="12.75" customHeight="1">
      <c r="A320" s="18"/>
      <c r="B320" s="18"/>
      <c r="C320" s="30"/>
      <c r="D320" s="19"/>
      <c r="E320" s="19"/>
      <c r="G320" s="38"/>
      <c r="H320" s="32"/>
      <c r="I320" s="699"/>
      <c r="J320" s="690"/>
      <c r="K320" s="690"/>
      <c r="L320" s="367"/>
      <c r="N320" s="19"/>
      <c r="O320" s="19"/>
    </row>
    <row r="321" spans="1:15" ht="12.75" customHeight="1">
      <c r="A321" s="20" t="s">
        <v>265</v>
      </c>
      <c r="B321" s="20"/>
      <c r="C321" s="30"/>
      <c r="D321" s="19"/>
      <c r="E321" s="19"/>
      <c r="F321" s="39"/>
      <c r="G321" s="38"/>
      <c r="H321" s="32"/>
      <c r="I321" s="699"/>
      <c r="J321" s="690"/>
      <c r="K321" s="690"/>
      <c r="L321" s="367"/>
      <c r="N321" s="19"/>
      <c r="O321" s="19"/>
    </row>
    <row r="322" spans="1:15" ht="12.75" customHeight="1">
      <c r="A322" s="18" t="s">
        <v>255</v>
      </c>
      <c r="B322" s="18"/>
      <c r="C322" s="30" t="s">
        <v>69</v>
      </c>
      <c r="D322" s="19"/>
      <c r="E322" s="19"/>
      <c r="F322" s="39"/>
      <c r="G322" s="38"/>
      <c r="H322" s="32"/>
      <c r="I322" s="699"/>
      <c r="J322" s="690"/>
      <c r="K322" s="690"/>
      <c r="L322" s="367"/>
      <c r="N322" s="19"/>
      <c r="O322" s="19"/>
    </row>
    <row r="323" spans="1:15" ht="12.75" customHeight="1">
      <c r="A323" s="18" t="s">
        <v>266</v>
      </c>
      <c r="B323" s="18"/>
      <c r="C323" s="30" t="s">
        <v>267</v>
      </c>
      <c r="D323" s="19"/>
      <c r="E323" s="19"/>
      <c r="F323" s="39"/>
      <c r="G323" s="38"/>
      <c r="H323" s="32"/>
      <c r="I323" s="367"/>
      <c r="J323" s="367"/>
      <c r="K323" s="367"/>
      <c r="L323" s="367"/>
      <c r="M323" s="367"/>
      <c r="N323" s="19"/>
      <c r="O323" s="19"/>
    </row>
    <row r="324" spans="1:15" ht="12.75" customHeight="1">
      <c r="A324" s="18" t="s">
        <v>268</v>
      </c>
      <c r="B324" s="18"/>
      <c r="C324" s="30"/>
      <c r="D324" s="19"/>
      <c r="E324" s="19"/>
      <c r="F324" s="39"/>
      <c r="G324" s="19"/>
      <c r="H324" s="32"/>
      <c r="I324" s="367"/>
      <c r="J324" s="367"/>
      <c r="K324" s="367"/>
      <c r="L324" s="367"/>
      <c r="M324" s="367"/>
      <c r="N324" s="19"/>
      <c r="O324" s="19"/>
    </row>
    <row r="325" spans="1:15" ht="12.75" customHeight="1">
      <c r="A325" s="18" t="s">
        <v>269</v>
      </c>
      <c r="B325" s="18"/>
      <c r="C325" s="30"/>
      <c r="D325" s="19"/>
      <c r="E325" s="19"/>
      <c r="F325" s="39"/>
      <c r="G325" s="19"/>
      <c r="H325" s="19"/>
      <c r="I325" s="367"/>
      <c r="J325" s="367"/>
      <c r="K325" s="367"/>
      <c r="L325" s="367"/>
      <c r="M325" s="367"/>
      <c r="N325" s="19"/>
      <c r="O325" s="19"/>
    </row>
    <row r="326" spans="1:15" ht="12.75" customHeight="1">
      <c r="A326" s="18"/>
      <c r="B326" s="18"/>
      <c r="C326" s="30"/>
      <c r="D326" s="19"/>
      <c r="E326" s="19"/>
      <c r="F326" s="39"/>
      <c r="G326" s="19"/>
      <c r="H326" s="19"/>
      <c r="I326" s="367"/>
      <c r="J326" s="367"/>
      <c r="K326" s="367"/>
      <c r="L326" s="367"/>
      <c r="M326" s="367"/>
      <c r="N326" s="19"/>
      <c r="O326" s="19"/>
    </row>
    <row r="327" spans="1:15" ht="12.75" customHeight="1">
      <c r="A327" s="27" t="s">
        <v>126</v>
      </c>
      <c r="B327" s="27"/>
      <c r="C327" s="24"/>
      <c r="D327" s="19"/>
      <c r="E327" s="19"/>
      <c r="F327" s="39"/>
      <c r="G327" s="19"/>
      <c r="H327" s="19"/>
      <c r="I327" s="367"/>
      <c r="J327" s="367"/>
      <c r="K327" s="367"/>
      <c r="L327" s="367"/>
      <c r="M327" s="367"/>
      <c r="N327" s="19"/>
      <c r="O327" s="19"/>
    </row>
    <row r="328" spans="1:15" ht="12.75" customHeight="1">
      <c r="A328" s="18" t="s">
        <v>270</v>
      </c>
      <c r="B328" s="18"/>
      <c r="C328" s="367"/>
      <c r="D328" s="19"/>
      <c r="E328" s="19"/>
      <c r="F328" s="39"/>
      <c r="G328" s="19"/>
      <c r="H328" s="19"/>
      <c r="I328" s="367"/>
      <c r="J328" s="367"/>
      <c r="K328" s="367"/>
      <c r="L328" s="367"/>
      <c r="M328" s="367"/>
      <c r="N328" s="19"/>
      <c r="O328" s="19"/>
    </row>
    <row r="329" spans="1:15" ht="12.75" customHeight="1">
      <c r="A329" s="18" t="s">
        <v>271</v>
      </c>
      <c r="B329" s="18"/>
      <c r="C329" s="367"/>
      <c r="D329" s="19"/>
      <c r="E329" s="19"/>
      <c r="F329" s="39"/>
      <c r="G329" s="19"/>
      <c r="H329" s="19"/>
      <c r="I329" s="367"/>
    </row>
    <row r="330" spans="1:15" ht="12.75" customHeight="1">
      <c r="A330" s="18" t="s">
        <v>223</v>
      </c>
      <c r="B330" s="18"/>
      <c r="C330" s="19"/>
      <c r="D330" s="19"/>
      <c r="F330" s="19"/>
      <c r="I330" s="367"/>
    </row>
    <row r="331" spans="1:15" ht="12.75" customHeight="1">
      <c r="A331" s="27" t="s">
        <v>272</v>
      </c>
      <c r="B331" s="27"/>
      <c r="C331" s="19"/>
      <c r="D331" s="19"/>
      <c r="F331" s="19"/>
      <c r="I331" s="367"/>
    </row>
    <row r="332" spans="1:15" ht="12.75" customHeight="1">
      <c r="A332" s="19" t="s">
        <v>273</v>
      </c>
      <c r="B332" s="19"/>
      <c r="C332" s="19"/>
      <c r="D332" s="19"/>
      <c r="F332" s="19"/>
      <c r="I332" s="367"/>
    </row>
    <row r="333" spans="1:15" ht="12.75" customHeight="1">
      <c r="A333" s="19" t="s">
        <v>274</v>
      </c>
      <c r="B333" s="19"/>
      <c r="C333" s="19"/>
      <c r="D333" s="19"/>
      <c r="F333" s="19"/>
      <c r="I333" s="367"/>
    </row>
    <row r="334" spans="1:15" ht="12.75" customHeight="1">
      <c r="A334" s="19" t="s">
        <v>275</v>
      </c>
      <c r="B334" s="19"/>
      <c r="C334" s="19"/>
      <c r="D334" s="19"/>
      <c r="F334" s="19"/>
      <c r="I334" s="367"/>
    </row>
    <row r="335" spans="1:15" ht="12.75" customHeight="1">
      <c r="A335" s="18"/>
      <c r="B335" s="18"/>
      <c r="C335" s="19"/>
      <c r="D335" s="19"/>
      <c r="F335" s="19"/>
      <c r="G335" s="22"/>
      <c r="H335" s="19"/>
      <c r="I335" s="367"/>
    </row>
    <row r="336" spans="1:15" ht="12.75" customHeight="1">
      <c r="A336" s="20" t="s">
        <v>276</v>
      </c>
      <c r="B336" s="20"/>
      <c r="C336" s="19"/>
      <c r="D336" s="19"/>
      <c r="F336" s="19"/>
      <c r="G336" s="22"/>
      <c r="H336" s="19"/>
      <c r="I336" s="367"/>
    </row>
    <row r="337" spans="1:9" ht="12.75" customHeight="1">
      <c r="A337" s="18" t="s">
        <v>277</v>
      </c>
      <c r="B337" s="18"/>
      <c r="C337" s="19"/>
      <c r="D337" s="19"/>
      <c r="F337" s="19"/>
      <c r="G337" s="22"/>
      <c r="H337" s="19"/>
      <c r="I337" s="367"/>
    </row>
    <row r="338" spans="1:9" ht="12.75" customHeight="1">
      <c r="A338" s="18" t="s">
        <v>278</v>
      </c>
      <c r="B338" s="18"/>
      <c r="C338" s="19"/>
      <c r="D338" s="19"/>
      <c r="F338" s="19"/>
    </row>
    <row r="339" spans="1:9" ht="12.75" customHeight="1">
      <c r="A339" s="18" t="s">
        <v>279</v>
      </c>
      <c r="B339" s="18"/>
      <c r="C339" s="19"/>
      <c r="D339" s="19"/>
      <c r="E339" s="19"/>
      <c r="F339" s="22"/>
    </row>
    <row r="340" spans="1:9" ht="12.75" customHeight="1">
      <c r="A340" s="18" t="s">
        <v>280</v>
      </c>
      <c r="B340" s="18"/>
      <c r="C340" s="19"/>
      <c r="D340" s="19"/>
      <c r="E340" s="19"/>
      <c r="F340" s="22"/>
    </row>
    <row r="341" spans="1:9" ht="12.75" customHeight="1">
      <c r="A341" s="18" t="s">
        <v>281</v>
      </c>
      <c r="B341" s="18"/>
      <c r="C341" s="19"/>
      <c r="D341" s="19"/>
      <c r="E341" s="19"/>
      <c r="F341" s="22"/>
    </row>
    <row r="342" spans="1:9" ht="12.75" customHeight="1">
      <c r="A342" s="18" t="s">
        <v>282</v>
      </c>
      <c r="B342" s="18"/>
      <c r="C342" s="19"/>
      <c r="D342" s="19"/>
      <c r="E342" s="19"/>
      <c r="F342" s="22"/>
    </row>
    <row r="343" spans="1:9" ht="12.75" customHeight="1">
      <c r="A343" s="18" t="s">
        <v>283</v>
      </c>
      <c r="B343" s="18"/>
      <c r="C343" s="19"/>
      <c r="D343" s="19"/>
      <c r="E343" s="19"/>
      <c r="F343" s="22"/>
    </row>
    <row r="344" spans="1:9" ht="12.75" customHeight="1">
      <c r="A344" s="18"/>
      <c r="B344" s="18"/>
      <c r="C344" s="19"/>
      <c r="D344" s="19"/>
      <c r="E344" s="19"/>
      <c r="F344" s="22"/>
    </row>
    <row r="345" spans="1:9" ht="12.75" customHeight="1">
      <c r="A345" s="20" t="s">
        <v>284</v>
      </c>
      <c r="B345" s="20"/>
      <c r="D345" s="19" t="s">
        <v>285</v>
      </c>
      <c r="E345" s="19"/>
    </row>
    <row r="346" spans="1:9" ht="12.75" customHeight="1">
      <c r="A346" s="18" t="s">
        <v>286</v>
      </c>
      <c r="B346" s="18"/>
      <c r="D346" s="19">
        <v>0</v>
      </c>
      <c r="E346" s="19"/>
    </row>
    <row r="347" spans="1:9" ht="12.75" customHeight="1">
      <c r="A347" s="18" t="s">
        <v>287</v>
      </c>
      <c r="B347" s="18"/>
      <c r="D347" s="19"/>
      <c r="E347" s="19"/>
    </row>
    <row r="348" spans="1:9" ht="12.75" customHeight="1">
      <c r="A348" s="21" t="s">
        <v>288</v>
      </c>
      <c r="B348" s="21"/>
      <c r="D348" s="22"/>
      <c r="E348" s="22"/>
    </row>
    <row r="349" spans="1:9" ht="12.75" customHeight="1">
      <c r="A349" s="21" t="s">
        <v>289</v>
      </c>
      <c r="B349" s="21"/>
      <c r="D349" s="22"/>
      <c r="E349" s="22"/>
    </row>
    <row r="350" spans="1:9" ht="12.75" customHeight="1">
      <c r="A350" s="21" t="s">
        <v>290</v>
      </c>
      <c r="B350" s="21"/>
      <c r="D350" s="22"/>
      <c r="E350" s="22"/>
    </row>
    <row r="351" spans="1:9" ht="12.75" customHeight="1">
      <c r="A351" s="21" t="s">
        <v>291</v>
      </c>
      <c r="B351" s="21"/>
      <c r="D351" s="22"/>
      <c r="E351" s="22"/>
    </row>
    <row r="352" spans="1:9" ht="12.75" customHeight="1">
      <c r="A352" s="21" t="s">
        <v>292</v>
      </c>
      <c r="B352" s="21"/>
      <c r="D352" s="22"/>
      <c r="E352" s="22"/>
    </row>
    <row r="353" spans="1:5" ht="12.75" customHeight="1">
      <c r="A353" s="21"/>
      <c r="B353" s="21"/>
      <c r="C353" s="22"/>
      <c r="D353" s="22"/>
      <c r="E353" s="22"/>
    </row>
    <row r="354" spans="1:5" ht="12.75" customHeight="1">
      <c r="A354" s="35" t="s">
        <v>1460</v>
      </c>
    </row>
    <row r="355" spans="1:5" ht="12.75" customHeight="1">
      <c r="A355" s="35" t="s">
        <v>1462</v>
      </c>
    </row>
    <row r="356" spans="1:5" ht="12.75" customHeight="1">
      <c r="A356" s="37" t="s">
        <v>1464</v>
      </c>
    </row>
    <row r="357" spans="1:5" ht="12.75" customHeight="1">
      <c r="A357" s="37" t="s">
        <v>1466</v>
      </c>
    </row>
    <row r="358" spans="1:5" ht="12.75" customHeight="1">
      <c r="A358" s="37" t="s">
        <v>1468</v>
      </c>
    </row>
    <row r="359" spans="1:5" ht="12.75" customHeight="1">
      <c r="A359" s="37" t="s">
        <v>1470</v>
      </c>
    </row>
    <row r="360" spans="1:5" ht="12.75" customHeight="1">
      <c r="A360" s="37" t="s">
        <v>1472</v>
      </c>
    </row>
    <row r="361" spans="1:5" ht="12.75" customHeight="1">
      <c r="A361" s="37" t="s">
        <v>1474</v>
      </c>
    </row>
    <row r="362" spans="1:5" ht="12.75" customHeight="1">
      <c r="A362" s="37" t="s">
        <v>1476</v>
      </c>
    </row>
    <row r="363" spans="1:5" ht="12.75" customHeight="1">
      <c r="A363" s="37" t="s">
        <v>1478</v>
      </c>
    </row>
    <row r="364" spans="1:5" ht="12.75" customHeight="1">
      <c r="A364" s="37" t="s">
        <v>1480</v>
      </c>
    </row>
    <row r="365" spans="1:5" ht="12.75" customHeight="1">
      <c r="A365" s="37" t="s">
        <v>1484</v>
      </c>
    </row>
    <row r="366" spans="1:5" ht="12.75" customHeight="1">
      <c r="A366" s="37" t="s">
        <v>1486</v>
      </c>
    </row>
    <row r="367" spans="1:5" ht="12.75" customHeight="1">
      <c r="A367" s="37" t="s">
        <v>1488</v>
      </c>
    </row>
    <row r="368" spans="1:5" ht="12.75" customHeight="1">
      <c r="A368" s="37" t="s">
        <v>1490</v>
      </c>
    </row>
    <row r="369" spans="1:1" ht="12.75" customHeight="1">
      <c r="A369" s="37" t="s">
        <v>1492</v>
      </c>
    </row>
    <row r="370" spans="1:1" ht="12.75" customHeight="1">
      <c r="A370" s="37" t="s">
        <v>1494</v>
      </c>
    </row>
    <row r="371" spans="1:1" ht="12.75" customHeight="1">
      <c r="A371" s="37" t="s">
        <v>1496</v>
      </c>
    </row>
    <row r="372" spans="1:1" ht="12.75" customHeight="1">
      <c r="A372" s="37" t="s">
        <v>1498</v>
      </c>
    </row>
    <row r="373" spans="1:1" ht="12.75" customHeight="1">
      <c r="A373" s="37" t="s">
        <v>1500</v>
      </c>
    </row>
    <row r="374" spans="1:1" ht="12.75" customHeight="1">
      <c r="A374" s="37" t="s">
        <v>1502</v>
      </c>
    </row>
    <row r="375" spans="1:1" ht="12.75" customHeight="1">
      <c r="A375" s="37" t="s">
        <v>1504</v>
      </c>
    </row>
    <row r="376" spans="1:1" ht="12.75" customHeight="1">
      <c r="A376" s="37" t="s">
        <v>1506</v>
      </c>
    </row>
    <row r="377" spans="1:1" ht="12.75" customHeight="1">
      <c r="A377" s="37" t="s">
        <v>1510</v>
      </c>
    </row>
    <row r="378" spans="1:1" ht="12.75" customHeight="1">
      <c r="A378" s="37" t="s">
        <v>1512</v>
      </c>
    </row>
    <row r="379" spans="1:1" ht="12.75" customHeight="1">
      <c r="A379" s="37" t="s">
        <v>1514</v>
      </c>
    </row>
    <row r="380" spans="1:1" ht="12.75" customHeight="1">
      <c r="A380" s="37" t="s">
        <v>1516</v>
      </c>
    </row>
    <row r="381" spans="1:1" ht="12.75" customHeight="1">
      <c r="A381" s="37" t="s">
        <v>1518</v>
      </c>
    </row>
    <row r="382" spans="1:1" ht="12.75" customHeight="1">
      <c r="A382" s="37" t="s">
        <v>1520</v>
      </c>
    </row>
    <row r="383" spans="1:1" ht="12.75" customHeight="1">
      <c r="A383" s="37" t="s">
        <v>1522</v>
      </c>
    </row>
    <row r="384" spans="1:1" ht="12.75" customHeight="1">
      <c r="A384" s="37" t="s">
        <v>1524</v>
      </c>
    </row>
    <row r="385" spans="1:1" ht="12.75" customHeight="1">
      <c r="A385" s="37" t="s">
        <v>1526</v>
      </c>
    </row>
    <row r="386" spans="1:1" ht="12.75" customHeight="1">
      <c r="A386" s="37" t="s">
        <v>1528</v>
      </c>
    </row>
    <row r="387" spans="1:1" ht="12.75" customHeight="1">
      <c r="A387" s="37" t="s">
        <v>1532</v>
      </c>
    </row>
    <row r="388" spans="1:1" ht="12.75" customHeight="1">
      <c r="A388" s="37" t="s">
        <v>1534</v>
      </c>
    </row>
    <row r="389" spans="1:1" ht="12.75" customHeight="1">
      <c r="A389" s="37" t="s">
        <v>1536</v>
      </c>
    </row>
    <row r="390" spans="1:1" ht="12.75" customHeight="1">
      <c r="A390" s="37" t="s">
        <v>1538</v>
      </c>
    </row>
    <row r="391" spans="1:1" ht="12.75" customHeight="1">
      <c r="A391" s="37" t="s">
        <v>1540</v>
      </c>
    </row>
    <row r="392" spans="1:1" ht="12.75" customHeight="1">
      <c r="A392" s="37" t="s">
        <v>1542</v>
      </c>
    </row>
    <row r="393" spans="1:1" ht="12.75" customHeight="1">
      <c r="A393" s="37" t="s">
        <v>1544</v>
      </c>
    </row>
    <row r="394" spans="1:1" ht="12.75" customHeight="1">
      <c r="A394" s="37" t="s">
        <v>1546</v>
      </c>
    </row>
    <row r="395" spans="1:1" ht="12.75" customHeight="1">
      <c r="A395" s="37" t="s">
        <v>1548</v>
      </c>
    </row>
    <row r="396" spans="1:1" ht="12.75" customHeight="1">
      <c r="A396" s="37" t="s">
        <v>1550</v>
      </c>
    </row>
    <row r="397" spans="1:1" ht="12.75" customHeight="1">
      <c r="A397" s="37" t="s">
        <v>1552</v>
      </c>
    </row>
    <row r="398" spans="1:1" ht="12.75" customHeight="1">
      <c r="A398" s="37" t="s">
        <v>1554</v>
      </c>
    </row>
    <row r="399" spans="1:1" ht="12.75" customHeight="1">
      <c r="A399" s="37" t="s">
        <v>1558</v>
      </c>
    </row>
    <row r="400" spans="1:1" ht="12.75" customHeight="1">
      <c r="A400" s="37" t="s">
        <v>1560</v>
      </c>
    </row>
    <row r="401" spans="1:1" ht="12.75" customHeight="1">
      <c r="A401" s="37" t="s">
        <v>1562</v>
      </c>
    </row>
    <row r="402" spans="1:1" ht="12.75" customHeight="1">
      <c r="A402" s="37" t="s">
        <v>1564</v>
      </c>
    </row>
    <row r="403" spans="1:1" ht="12.75" customHeight="1">
      <c r="A403" s="37" t="s">
        <v>1566</v>
      </c>
    </row>
    <row r="404" spans="1:1" ht="12.75" customHeight="1">
      <c r="A404" s="37" t="s">
        <v>1568</v>
      </c>
    </row>
    <row r="405" spans="1:1" ht="12.75" customHeight="1">
      <c r="A405" s="37" t="s">
        <v>1570</v>
      </c>
    </row>
    <row r="406" spans="1:1" ht="12.75" customHeight="1">
      <c r="A406" s="37" t="s">
        <v>1572</v>
      </c>
    </row>
    <row r="407" spans="1:1" ht="12.75" customHeight="1">
      <c r="A407" s="37" t="s">
        <v>1574</v>
      </c>
    </row>
    <row r="408" spans="1:1" ht="12.75" customHeight="1">
      <c r="A408" s="37" t="s">
        <v>1576</v>
      </c>
    </row>
    <row r="409" spans="1:1" ht="12.75" customHeight="1">
      <c r="A409" s="37" t="s">
        <v>1578</v>
      </c>
    </row>
    <row r="410" spans="1:1" ht="12.75" customHeight="1">
      <c r="A410" s="37" t="s">
        <v>1582</v>
      </c>
    </row>
    <row r="411" spans="1:1" ht="12.75" customHeight="1">
      <c r="A411" s="37" t="s">
        <v>1584</v>
      </c>
    </row>
    <row r="412" spans="1:1" ht="12.75" customHeight="1">
      <c r="A412" s="37" t="s">
        <v>1586</v>
      </c>
    </row>
    <row r="413" spans="1:1" ht="12.75" customHeight="1">
      <c r="A413" s="37" t="s">
        <v>1588</v>
      </c>
    </row>
    <row r="414" spans="1:1" ht="12.75" customHeight="1">
      <c r="A414" s="37" t="s">
        <v>1590</v>
      </c>
    </row>
    <row r="415" spans="1:1" ht="12.75" customHeight="1">
      <c r="A415" s="37" t="s">
        <v>1592</v>
      </c>
    </row>
    <row r="416" spans="1:1" ht="12.75" customHeight="1">
      <c r="A416" s="37" t="s">
        <v>1594</v>
      </c>
    </row>
    <row r="417" spans="1:1" ht="12.75" customHeight="1">
      <c r="A417" s="37" t="s">
        <v>1596</v>
      </c>
    </row>
    <row r="418" spans="1:1" ht="12.75" customHeight="1">
      <c r="A418" s="37" t="s">
        <v>1598</v>
      </c>
    </row>
    <row r="419" spans="1:1" ht="12.75" customHeight="1">
      <c r="A419" s="37" t="s">
        <v>1600</v>
      </c>
    </row>
    <row r="420" spans="1:1" ht="12.75" customHeight="1">
      <c r="A420" s="37" t="s">
        <v>1602</v>
      </c>
    </row>
    <row r="421" spans="1:1" ht="12.75" customHeight="1">
      <c r="A421" s="37" t="s">
        <v>1604</v>
      </c>
    </row>
    <row r="422" spans="1:1" ht="12.75" customHeight="1">
      <c r="A422" s="37" t="s">
        <v>1422</v>
      </c>
    </row>
    <row r="423" spans="1:1" ht="12.75" customHeight="1">
      <c r="A423" s="37" t="s">
        <v>1416</v>
      </c>
    </row>
    <row r="424" spans="1:1" ht="12.75" customHeight="1">
      <c r="A424" s="37" t="s">
        <v>151</v>
      </c>
    </row>
    <row r="425" spans="1:1" ht="12.75" customHeight="1">
      <c r="A425" s="37" t="s">
        <v>153</v>
      </c>
    </row>
    <row r="426" spans="1:1" ht="12.75" customHeight="1">
      <c r="A426" s="37" t="s">
        <v>155</v>
      </c>
    </row>
    <row r="427" spans="1:1" ht="12.75" customHeight="1">
      <c r="A427" s="37" t="s">
        <v>157</v>
      </c>
    </row>
    <row r="428" spans="1:1" ht="12.75" customHeight="1">
      <c r="A428" s="37" t="s">
        <v>159</v>
      </c>
    </row>
    <row r="429" spans="1:1" ht="12.75" customHeight="1">
      <c r="A429" s="37" t="s">
        <v>161</v>
      </c>
    </row>
    <row r="430" spans="1:1" ht="12.75" customHeight="1">
      <c r="A430" s="37" t="s">
        <v>163</v>
      </c>
    </row>
    <row r="431" spans="1:1" ht="12.75" customHeight="1">
      <c r="A431" s="37" t="s">
        <v>1418</v>
      </c>
    </row>
    <row r="432" spans="1:1" ht="12.75" customHeight="1">
      <c r="A432" s="37" t="s">
        <v>1419</v>
      </c>
    </row>
    <row r="433" spans="1:1" ht="12.75" customHeight="1">
      <c r="A433" s="37" t="s">
        <v>165</v>
      </c>
    </row>
    <row r="434" spans="1:1" ht="12.75" customHeight="1">
      <c r="A434" s="37" t="s">
        <v>167</v>
      </c>
    </row>
    <row r="435" spans="1:1" ht="12.75" customHeight="1">
      <c r="A435" s="37" t="s">
        <v>169</v>
      </c>
    </row>
    <row r="436" spans="1:1" ht="12.75" customHeight="1">
      <c r="A436" s="37" t="s">
        <v>171</v>
      </c>
    </row>
    <row r="437" spans="1:1" ht="12.75" customHeight="1">
      <c r="A437" s="37" t="s">
        <v>173</v>
      </c>
    </row>
    <row r="438" spans="1:1" ht="12.75" customHeight="1">
      <c r="A438" s="37" t="s">
        <v>175</v>
      </c>
    </row>
    <row r="439" spans="1:1" ht="12.75" customHeight="1">
      <c r="A439" s="37" t="s">
        <v>177</v>
      </c>
    </row>
    <row r="440" spans="1:1" ht="12.75" customHeight="1">
      <c r="A440" s="37" t="s">
        <v>179</v>
      </c>
    </row>
    <row r="441" spans="1:1" ht="12.75" customHeight="1">
      <c r="A441" s="37" t="s">
        <v>181</v>
      </c>
    </row>
    <row r="442" spans="1:1" ht="12.75" customHeight="1">
      <c r="A442" s="37" t="s">
        <v>183</v>
      </c>
    </row>
    <row r="443" spans="1:1" ht="12.75" customHeight="1">
      <c r="A443" s="37" t="s">
        <v>185</v>
      </c>
    </row>
    <row r="444" spans="1:1" ht="12.75" customHeight="1">
      <c r="A444" s="37" t="s">
        <v>187</v>
      </c>
    </row>
    <row r="445" spans="1:1" ht="12.75" customHeight="1">
      <c r="A445" s="37" t="s">
        <v>189</v>
      </c>
    </row>
    <row r="446" spans="1:1" ht="12.75" customHeight="1">
      <c r="A446" s="37" t="s">
        <v>191</v>
      </c>
    </row>
  </sheetData>
  <mergeCells count="3">
    <mergeCell ref="I253:J253"/>
    <mergeCell ref="K253:L253"/>
    <mergeCell ref="H286:L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X67"/>
  <sheetViews>
    <sheetView zoomScale="85" zoomScaleNormal="85" workbookViewId="0">
      <selection activeCell="AI23" sqref="AI23"/>
    </sheetView>
  </sheetViews>
  <sheetFormatPr defaultColWidth="9.140625" defaultRowHeight="12"/>
  <cols>
    <col min="1" max="1" width="2.42578125" style="337" customWidth="1"/>
    <col min="2" max="2" width="16.85546875" style="151" customWidth="1"/>
    <col min="3" max="3" width="13.85546875" style="151" customWidth="1"/>
    <col min="4" max="4" width="17.28515625" style="151" customWidth="1"/>
    <col min="5" max="5" width="9.42578125" style="151" customWidth="1"/>
    <col min="6" max="6" width="16.7109375" style="151" customWidth="1"/>
    <col min="7" max="7" width="10" style="151" customWidth="1"/>
    <col min="8" max="8" width="5.28515625" style="151" customWidth="1"/>
    <col min="9" max="9" width="10.7109375" style="151" customWidth="1"/>
    <col min="10" max="10" width="12.28515625" style="151" customWidth="1"/>
    <col min="11" max="11" width="9.85546875" style="151" customWidth="1"/>
    <col min="12" max="12" width="13.28515625" style="151" customWidth="1"/>
    <col min="13" max="13" width="8.28515625" style="151" customWidth="1"/>
    <col min="14" max="14" width="8" style="116" customWidth="1"/>
    <col min="15" max="15" width="14.42578125" style="116" customWidth="1"/>
    <col min="16" max="16" width="15.7109375" style="116" customWidth="1"/>
    <col min="17" max="17" width="18" style="116" customWidth="1"/>
    <col min="18" max="18" width="13.85546875" style="116" customWidth="1"/>
    <col min="19" max="19" width="6.5703125" style="116" hidden="1" customWidth="1"/>
    <col min="20" max="20" width="15" style="116" hidden="1" customWidth="1"/>
    <col min="21" max="21" width="12.7109375" style="116" hidden="1" customWidth="1"/>
    <col min="22" max="22" width="8.7109375" style="116" hidden="1" customWidth="1"/>
    <col min="23" max="23" width="12.140625" style="116" hidden="1" customWidth="1"/>
    <col min="24" max="24" width="7" style="116" hidden="1" customWidth="1"/>
    <col min="25" max="25" width="7.7109375" style="116" hidden="1" customWidth="1"/>
    <col min="26" max="26" width="22" style="116" hidden="1" customWidth="1"/>
    <col min="27" max="27" width="28.5703125" style="116" hidden="1" customWidth="1"/>
    <col min="28" max="28" width="47.28515625" style="116" hidden="1" customWidth="1"/>
    <col min="29" max="29" width="32.42578125" style="116" hidden="1" customWidth="1"/>
    <col min="30" max="30" width="7.140625" style="116" hidden="1" customWidth="1"/>
    <col min="31" max="31" width="5.85546875" style="116" customWidth="1"/>
    <col min="32" max="35" width="10.7109375" style="116" customWidth="1"/>
    <col min="36" max="38" width="9.140625" style="116" customWidth="1"/>
    <col min="39" max="39" width="10.7109375" style="116" customWidth="1"/>
    <col min="40" max="41" width="9.140625" style="116" customWidth="1"/>
    <col min="42" max="42" width="9.140625" style="183" customWidth="1"/>
    <col min="43" max="44" width="9.140625" style="116" customWidth="1"/>
    <col min="45" max="47" width="9.140625" style="151" customWidth="1"/>
    <col min="48" max="16384" width="9.140625" style="151"/>
  </cols>
  <sheetData>
    <row r="1" spans="1:49" ht="15" customHeight="1">
      <c r="B1" s="70" t="s">
        <v>0</v>
      </c>
      <c r="C1" s="182"/>
      <c r="D1" s="182"/>
      <c r="E1" s="182"/>
      <c r="F1" s="182"/>
      <c r="G1" s="233" t="s">
        <v>1613</v>
      </c>
      <c r="H1" s="182"/>
      <c r="I1" s="182"/>
      <c r="J1" s="391"/>
      <c r="K1" s="182"/>
      <c r="L1" s="71">
        <f ca="1">+NOW()</f>
        <v>45944.47451990741</v>
      </c>
      <c r="M1" s="261"/>
      <c r="N1" s="183"/>
    </row>
    <row r="2" spans="1:49" ht="5.25" customHeight="1">
      <c r="B2" s="184"/>
      <c r="C2" s="185"/>
      <c r="D2" s="185"/>
      <c r="E2" s="185"/>
      <c r="F2" s="186"/>
      <c r="G2" s="185"/>
      <c r="H2" s="185"/>
      <c r="I2" s="185"/>
      <c r="J2" s="185"/>
      <c r="K2" s="185"/>
      <c r="L2" s="187"/>
      <c r="M2" s="261"/>
      <c r="N2" s="183"/>
    </row>
    <row r="3" spans="1:49" ht="15" customHeight="1" thickBot="1">
      <c r="B3" s="184" t="s">
        <v>1</v>
      </c>
      <c r="C3" s="185"/>
      <c r="D3" s="185"/>
      <c r="E3" s="185"/>
      <c r="F3" s="186" t="s">
        <v>2</v>
      </c>
      <c r="G3" s="185"/>
      <c r="H3" s="186" t="s">
        <v>3</v>
      </c>
      <c r="I3" s="185"/>
      <c r="J3" s="185"/>
      <c r="K3" s="185"/>
      <c r="L3" s="188" t="s">
        <v>2</v>
      </c>
      <c r="M3" s="261"/>
      <c r="N3" s="183"/>
    </row>
    <row r="4" spans="1:49" ht="18" customHeight="1" thickBot="1">
      <c r="B4" s="854"/>
      <c r="C4" s="855"/>
      <c r="D4" s="856"/>
      <c r="E4" s="181"/>
      <c r="F4" s="72"/>
      <c r="G4" s="189"/>
      <c r="H4" s="854"/>
      <c r="I4" s="855"/>
      <c r="J4" s="856"/>
      <c r="K4" s="33"/>
      <c r="L4" s="73"/>
      <c r="M4" s="261"/>
      <c r="N4" s="183"/>
    </row>
    <row r="5" spans="1:49" ht="5.25" customHeight="1" thickBot="1">
      <c r="B5" s="190"/>
      <c r="C5" s="191"/>
      <c r="D5" s="191"/>
      <c r="E5" s="191"/>
      <c r="F5" s="191"/>
      <c r="G5" s="191"/>
      <c r="H5" s="191"/>
      <c r="I5" s="191"/>
      <c r="J5" s="192"/>
      <c r="K5" s="192"/>
      <c r="L5" s="193"/>
      <c r="M5" s="261"/>
      <c r="N5" s="183"/>
    </row>
    <row r="6" spans="1:49" s="195" customFormat="1" ht="18" customHeight="1">
      <c r="A6" s="338"/>
      <c r="B6" s="857" t="s">
        <v>4</v>
      </c>
      <c r="C6" s="858"/>
      <c r="D6" s="858"/>
      <c r="E6" s="858"/>
      <c r="F6" s="858"/>
      <c r="G6" s="859"/>
      <c r="H6" s="194"/>
      <c r="I6" s="857" t="s">
        <v>5</v>
      </c>
      <c r="J6" s="858"/>
      <c r="K6" s="858"/>
      <c r="L6" s="859"/>
      <c r="M6" s="386" t="s">
        <v>6</v>
      </c>
      <c r="N6" s="197"/>
      <c r="O6" s="292" t="s">
        <v>7</v>
      </c>
      <c r="P6" s="293" t="s">
        <v>8</v>
      </c>
      <c r="Q6" s="293" t="s">
        <v>9</v>
      </c>
      <c r="R6" s="294" t="s">
        <v>10</v>
      </c>
      <c r="S6" s="196"/>
      <c r="T6" s="196"/>
      <c r="U6" s="196"/>
      <c r="V6" s="196"/>
      <c r="W6" s="196"/>
      <c r="X6" s="196"/>
      <c r="Y6" s="196" t="s">
        <v>11</v>
      </c>
      <c r="Z6" s="196" t="s">
        <v>12</v>
      </c>
      <c r="AA6" s="196"/>
      <c r="AB6" s="196"/>
      <c r="AC6" s="196"/>
      <c r="AD6" s="196"/>
      <c r="AE6" s="196"/>
      <c r="AF6" s="196"/>
      <c r="AG6" s="196"/>
      <c r="AH6" s="196"/>
      <c r="AI6" s="196"/>
      <c r="AJ6" s="196"/>
      <c r="AK6" s="196"/>
      <c r="AL6" s="196"/>
      <c r="AM6" s="196"/>
      <c r="AN6" s="196"/>
      <c r="AO6" s="196"/>
      <c r="AP6" s="197"/>
      <c r="AQ6" s="196"/>
      <c r="AR6" s="196"/>
    </row>
    <row r="7" spans="1:49" ht="18" customHeight="1">
      <c r="B7" s="198" t="s">
        <v>13</v>
      </c>
      <c r="C7" s="562" t="s">
        <v>14</v>
      </c>
      <c r="D7" s="860" t="s">
        <v>15</v>
      </c>
      <c r="E7" s="860"/>
      <c r="F7" s="562" t="s">
        <v>8</v>
      </c>
      <c r="G7" s="177" t="s">
        <v>16</v>
      </c>
      <c r="H7" s="185"/>
      <c r="I7" s="852"/>
      <c r="J7" s="853"/>
      <c r="K7" s="127"/>
      <c r="L7" s="388"/>
      <c r="M7" s="387"/>
      <c r="N7" s="271">
        <f>+IF(I7="Salary Packaging",1,0)+IF(I7="Car Allowance",1,0)</f>
        <v>0</v>
      </c>
      <c r="O7" s="295" t="s">
        <v>11</v>
      </c>
      <c r="P7" s="296">
        <f>+SUM(X8:X13)+SUMIF(M7:M9,"App 1",V7:V9)+SUMIF(M12:M13,"App 1",V12:V13)</f>
        <v>0</v>
      </c>
      <c r="Q7" s="296">
        <f>+SUM(T8:T13)/12+SUMIF(M7:M9,"App 1",V7:V9)+SUMIF(M12:M13,"App 1",V12:V13)*I14</f>
        <v>0</v>
      </c>
      <c r="R7" s="419">
        <f>+SUM(X8:X13)/30.3*Q14+(Y7*N7)/30.3*Q14+(Y8*N8)/30.3*Q14+(Y9*N9)/30.3*Q14</f>
        <v>0</v>
      </c>
      <c r="T7" s="227"/>
      <c r="U7" s="227"/>
      <c r="V7" s="332">
        <f>+IF(K7="",L7*0,IF(K7="A",L7/12,IF(K7="M",L7,IF(K7="b",L7*24/12,IF(K7="F",L7*26/12,IF(K7="W",L7*52/12))))))*W7</f>
        <v>0</v>
      </c>
      <c r="W7" s="116" t="b">
        <f>+IF(L7&gt;0,IF(K7="","error",1))</f>
        <v>0</v>
      </c>
      <c r="X7" s="227"/>
      <c r="Y7" s="227">
        <f>+SUMIF(M7,"App 1",V7)</f>
        <v>0</v>
      </c>
      <c r="Z7" s="227">
        <f>+SUMIF(M7,"App 2",V7)</f>
        <v>0</v>
      </c>
      <c r="AT7" s="200"/>
      <c r="AU7" s="201"/>
    </row>
    <row r="8" spans="1:49" ht="18" customHeight="1">
      <c r="B8" s="198" t="s">
        <v>1</v>
      </c>
      <c r="C8" s="75"/>
      <c r="D8" s="843"/>
      <c r="E8" s="844"/>
      <c r="F8" s="496"/>
      <c r="G8" s="410"/>
      <c r="H8" s="185"/>
      <c r="I8" s="852"/>
      <c r="J8" s="853"/>
      <c r="K8" s="127"/>
      <c r="L8" s="388"/>
      <c r="M8" s="387"/>
      <c r="N8" s="271">
        <f t="shared" ref="N8:N9" si="0">+IF(I8="Salary Packaging",1,0)+IF(I8="Car Allowance",1,0)</f>
        <v>0</v>
      </c>
      <c r="O8" s="295" t="s">
        <v>12</v>
      </c>
      <c r="P8" s="296">
        <f>+SUM(X14:X19)+SUMIF(M7:M9,"App 2",V7:V9)+SUMIF(M12:M13,"App 2",V12:V13)</f>
        <v>0</v>
      </c>
      <c r="Q8" s="296">
        <f>+SUM(T14:T19)/12+SUMIF(M7:M9,"App 2",V7:V9)+SUMIF(M12:M13,"App 2",V12:V13)*0.8</f>
        <v>0</v>
      </c>
      <c r="R8" s="419">
        <f>+SUM(X14:X19)/30.3*Q18+(Z7*N7)/30.3*Q18+(Z8*N8)/30.3*Q18+(Z9*N9)/30.3*Q18</f>
        <v>0</v>
      </c>
      <c r="T8" s="332">
        <f>+IF(G8="",F8*0,IF(G8="A",F8,IF(G8="M",F8*12,IF(G8="B",F8*24,IF(G8="F",F8*26,IF(G8="W",F8*52))))))*U8</f>
        <v>0</v>
      </c>
      <c r="U8" s="227" t="b">
        <f>+IF(F8&gt;0,IF(G8="","error",1))</f>
        <v>0</v>
      </c>
      <c r="V8" s="332">
        <f t="shared" ref="V8:V9" si="1">+IF(K8="",L8*0,IF(K8="A",L8/12,IF(K8="M",L8,IF(K8="b",L8*24/12,IF(K8="F",L8*26/12,IF(K8="W",L8*52/12))))))*W8</f>
        <v>0</v>
      </c>
      <c r="W8" s="116" t="b">
        <f t="shared" ref="W8:W9" si="2">+IF(L8&gt;0,IF(K8="","error",1))</f>
        <v>0</v>
      </c>
      <c r="X8" s="227">
        <f>+T8/12</f>
        <v>0</v>
      </c>
      <c r="Y8" s="227">
        <f t="shared" ref="Y8:Y9" si="3">+SUMIF(M8,"App 1",V8)</f>
        <v>0</v>
      </c>
      <c r="Z8" s="227">
        <f t="shared" ref="Z8:Z9" si="4">+SUMIF(M8,"App 2",V8)</f>
        <v>0</v>
      </c>
      <c r="AT8" s="202"/>
      <c r="AU8" s="201"/>
      <c r="AV8" s="201"/>
    </row>
    <row r="9" spans="1:49" ht="18" customHeight="1">
      <c r="B9" s="3" t="s">
        <v>17</v>
      </c>
      <c r="C9" s="1">
        <v>0.8</v>
      </c>
      <c r="D9" s="847"/>
      <c r="E9" s="848"/>
      <c r="F9" s="496"/>
      <c r="G9" s="410"/>
      <c r="H9" s="185"/>
      <c r="I9" s="852"/>
      <c r="J9" s="853"/>
      <c r="K9" s="127"/>
      <c r="L9" s="388"/>
      <c r="M9" s="387"/>
      <c r="N9" s="271">
        <f t="shared" si="0"/>
        <v>0</v>
      </c>
      <c r="O9" s="297" t="s">
        <v>18</v>
      </c>
      <c r="P9" s="298">
        <f>SUM(P7:P8)</f>
        <v>0</v>
      </c>
      <c r="Q9" s="298">
        <f>SUM(Q7:Q8)</f>
        <v>0</v>
      </c>
      <c r="R9" s="299"/>
      <c r="T9" s="332">
        <f>+IF(G9="",0*F9,IF(G9="A",F9*C9,IF(G9="M",F9*12*C9,IF(G9="B",F9*24*C9,IF(G9="F",F9*26*C9,IF(G9="W",F9*52*C9))))))*U9</f>
        <v>0</v>
      </c>
      <c r="U9" s="227" t="b">
        <f t="shared" ref="U9:U19" si="5">+IF(F9&gt;0,IF(G9="","error",1))</f>
        <v>0</v>
      </c>
      <c r="V9" s="332">
        <f t="shared" si="1"/>
        <v>0</v>
      </c>
      <c r="W9" s="116" t="b">
        <f t="shared" si="2"/>
        <v>0</v>
      </c>
      <c r="X9" s="228">
        <f>+(T9/C9*100%)/12</f>
        <v>0</v>
      </c>
      <c r="Y9" s="227">
        <f t="shared" si="3"/>
        <v>0</v>
      </c>
      <c r="Z9" s="227">
        <f t="shared" si="4"/>
        <v>0</v>
      </c>
      <c r="AT9" s="200"/>
      <c r="AU9" s="201"/>
      <c r="AV9" s="201"/>
      <c r="AW9" s="201"/>
    </row>
    <row r="10" spans="1:49" ht="18" customHeight="1">
      <c r="B10" s="3" t="s">
        <v>19</v>
      </c>
      <c r="C10" s="95">
        <v>1</v>
      </c>
      <c r="D10" s="843"/>
      <c r="E10" s="844"/>
      <c r="F10" s="496"/>
      <c r="G10" s="410"/>
      <c r="H10" s="185"/>
      <c r="I10" s="809" t="s">
        <v>20</v>
      </c>
      <c r="J10" s="810"/>
      <c r="K10" s="810"/>
      <c r="L10" s="811"/>
      <c r="M10" s="263"/>
      <c r="N10" s="262"/>
      <c r="O10" s="300" t="s">
        <v>21</v>
      </c>
      <c r="P10" s="301">
        <f>+C50/12</f>
        <v>0</v>
      </c>
      <c r="Q10" s="301">
        <f>+C48</f>
        <v>0</v>
      </c>
      <c r="R10" s="302"/>
      <c r="T10" s="332">
        <f t="shared" ref="T10:T13" si="6">+IF(G10="",0*F10,IF(G10="A",F10*C10,IF(G10="M",F10*12*C10,IF(G10="B",F10*24*C10,IF(G10="F",F10*26*C10,IF(G10="W",F10*52*C10))))))*U10</f>
        <v>0</v>
      </c>
      <c r="U10" s="227" t="b">
        <f t="shared" si="5"/>
        <v>0</v>
      </c>
      <c r="V10" s="227"/>
      <c r="X10" s="228">
        <f t="shared" ref="X10:X13" si="7">+(T10/C10*100%)/12</f>
        <v>0</v>
      </c>
      <c r="Y10" s="203"/>
      <c r="Z10" s="203"/>
      <c r="AA10" s="204"/>
      <c r="AB10" s="204"/>
      <c r="AT10" s="202"/>
      <c r="AU10" s="201"/>
      <c r="AV10" s="201"/>
      <c r="AW10" s="201"/>
    </row>
    <row r="11" spans="1:49" ht="18" customHeight="1">
      <c r="B11" s="3" t="s">
        <v>22</v>
      </c>
      <c r="C11" s="1">
        <v>0.8</v>
      </c>
      <c r="D11" s="839"/>
      <c r="E11" s="840"/>
      <c r="F11" s="496"/>
      <c r="G11" s="410"/>
      <c r="H11" s="185"/>
      <c r="I11" s="205" t="s">
        <v>23</v>
      </c>
      <c r="J11" s="206" t="s">
        <v>24</v>
      </c>
      <c r="K11" s="206" t="s">
        <v>16</v>
      </c>
      <c r="L11" s="177" t="s">
        <v>25</v>
      </c>
      <c r="M11" s="386" t="s">
        <v>6</v>
      </c>
      <c r="N11" s="262"/>
      <c r="O11" s="303"/>
      <c r="P11" s="304"/>
      <c r="Q11" s="304"/>
      <c r="R11" s="302"/>
      <c r="T11" s="332">
        <f t="shared" si="6"/>
        <v>0</v>
      </c>
      <c r="U11" s="227" t="b">
        <f t="shared" si="5"/>
        <v>0</v>
      </c>
      <c r="V11" s="332"/>
      <c r="X11" s="228">
        <f t="shared" si="7"/>
        <v>0</v>
      </c>
      <c r="Y11" s="203"/>
      <c r="Z11" s="203"/>
      <c r="AA11" s="204"/>
      <c r="AB11" s="204"/>
      <c r="AT11" s="202"/>
      <c r="AU11" s="201"/>
      <c r="AV11" s="201"/>
      <c r="AW11" s="201"/>
    </row>
    <row r="12" spans="1:49" ht="18" customHeight="1">
      <c r="B12" s="3" t="s">
        <v>26</v>
      </c>
      <c r="C12" s="76">
        <v>1</v>
      </c>
      <c r="D12" s="839"/>
      <c r="E12" s="840"/>
      <c r="F12" s="496"/>
      <c r="G12" s="410"/>
      <c r="H12" s="185"/>
      <c r="I12" s="3" t="s">
        <v>27</v>
      </c>
      <c r="J12" s="207"/>
      <c r="K12" s="171"/>
      <c r="L12" s="74"/>
      <c r="M12" s="387"/>
      <c r="N12" s="218"/>
      <c r="O12" s="305" t="s">
        <v>11</v>
      </c>
      <c r="P12" s="306" t="s">
        <v>28</v>
      </c>
      <c r="Q12" s="306" t="s">
        <v>16</v>
      </c>
      <c r="R12" s="299"/>
      <c r="T12" s="332">
        <f t="shared" si="6"/>
        <v>0</v>
      </c>
      <c r="U12" s="227" t="b">
        <f t="shared" si="5"/>
        <v>0</v>
      </c>
      <c r="V12" s="332">
        <f t="shared" ref="V12:V13" si="8">+IF(K12="",0*J12,IF(K12="A",J12/12,IF(K12="M",J12,IF(K12="B",J12*24/12,IF(K12="F",J12*26/12,IF(K12="W",J12*52/12))))))*W12</f>
        <v>0</v>
      </c>
      <c r="W12" s="116" t="b">
        <f t="shared" ref="W12:W13" si="9">+IF(J12&gt;0,IF(K12="","error",1))</f>
        <v>0</v>
      </c>
      <c r="X12" s="228">
        <f t="shared" si="7"/>
        <v>0</v>
      </c>
      <c r="Y12" s="227">
        <f t="shared" ref="Y12:Y13" si="10">+SUMIF(M12,"App 1",V12)</f>
        <v>0</v>
      </c>
      <c r="Z12" s="227">
        <f t="shared" ref="Z12:Z13" si="11">+SUMIF(M12,"App 2",V12)</f>
        <v>0</v>
      </c>
      <c r="AA12" s="204"/>
      <c r="AB12" s="204"/>
      <c r="AT12" s="200"/>
      <c r="AU12" s="201"/>
      <c r="AV12" s="201"/>
      <c r="AW12" s="201"/>
    </row>
    <row r="13" spans="1:49" ht="18" customHeight="1">
      <c r="B13" s="11" t="s">
        <v>29</v>
      </c>
      <c r="C13" s="76">
        <v>0.5</v>
      </c>
      <c r="D13" s="841"/>
      <c r="E13" s="842"/>
      <c r="F13" s="496"/>
      <c r="G13" s="410"/>
      <c r="H13" s="185"/>
      <c r="I13" s="3" t="s">
        <v>30</v>
      </c>
      <c r="J13" s="207"/>
      <c r="K13" s="171"/>
      <c r="L13" s="74"/>
      <c r="M13" s="387"/>
      <c r="N13" s="264"/>
      <c r="O13" s="307" t="s">
        <v>31</v>
      </c>
      <c r="P13" s="308"/>
      <c r="Q13" s="425">
        <f>+G8</f>
        <v>0</v>
      </c>
      <c r="R13" s="309"/>
      <c r="T13" s="332">
        <f t="shared" si="6"/>
        <v>0</v>
      </c>
      <c r="U13" s="227" t="b">
        <f t="shared" si="5"/>
        <v>0</v>
      </c>
      <c r="V13" s="332">
        <f t="shared" si="8"/>
        <v>0</v>
      </c>
      <c r="W13" s="116" t="b">
        <f t="shared" si="9"/>
        <v>0</v>
      </c>
      <c r="X13" s="228">
        <f t="shared" si="7"/>
        <v>0</v>
      </c>
      <c r="Y13" s="227">
        <f t="shared" si="10"/>
        <v>0</v>
      </c>
      <c r="Z13" s="227">
        <f t="shared" si="11"/>
        <v>0</v>
      </c>
      <c r="AA13" s="204"/>
      <c r="AB13" s="204"/>
      <c r="AT13" s="200"/>
    </row>
    <row r="14" spans="1:49" ht="18" customHeight="1" thickBot="1">
      <c r="B14" s="198" t="s">
        <v>3</v>
      </c>
      <c r="C14" s="75"/>
      <c r="D14" s="843"/>
      <c r="E14" s="844"/>
      <c r="F14" s="496"/>
      <c r="G14" s="410"/>
      <c r="H14" s="185"/>
      <c r="I14" s="539">
        <v>0.8</v>
      </c>
      <c r="J14" s="845" t="s">
        <v>32</v>
      </c>
      <c r="K14" s="846"/>
      <c r="L14" s="2">
        <f>V14</f>
        <v>0</v>
      </c>
      <c r="M14" s="261"/>
      <c r="N14" s="265"/>
      <c r="O14" s="300" t="s">
        <v>33</v>
      </c>
      <c r="P14" s="566">
        <v>45473</v>
      </c>
      <c r="Q14" s="315">
        <f>(P13-P14)</f>
        <v>-45473</v>
      </c>
      <c r="R14" s="311"/>
      <c r="T14" s="332">
        <f>+IF(G14="",+F9*0,IF(G14="A",F14,IF(G14="M",F14*12,IF(G14="B",F14*24,IF(G14="F",F14*26,IF(G14="W",F14*52))))))*U14</f>
        <v>0</v>
      </c>
      <c r="U14" s="227" t="b">
        <f t="shared" si="5"/>
        <v>0</v>
      </c>
      <c r="V14" s="227">
        <f>SUM(V12:V13)</f>
        <v>0</v>
      </c>
      <c r="X14" s="227">
        <f>+T14/12</f>
        <v>0</v>
      </c>
      <c r="Z14" s="203"/>
      <c r="AA14" s="204"/>
      <c r="AB14" s="204"/>
      <c r="AT14" s="200"/>
    </row>
    <row r="15" spans="1:49" ht="18" customHeight="1">
      <c r="B15" s="3" t="s">
        <v>17</v>
      </c>
      <c r="C15" s="1">
        <v>0.8</v>
      </c>
      <c r="D15" s="847"/>
      <c r="E15" s="848"/>
      <c r="F15" s="496"/>
      <c r="G15" s="410"/>
      <c r="H15" s="185"/>
      <c r="I15" s="781" t="s">
        <v>34</v>
      </c>
      <c r="J15" s="782"/>
      <c r="K15" s="782"/>
      <c r="L15" s="783"/>
      <c r="M15" s="261"/>
      <c r="N15" s="266"/>
      <c r="O15" s="312" t="s">
        <v>35</v>
      </c>
      <c r="P15" s="306">
        <f>ROUNDDOWN(+IF(Q13="",0*Q14,IF(Q13="M",Q14/30.3,IF(Q13="B",Q14/15,IF(Q13="F",Q14/14+1,IF(Q13="W",Q14/7))))),0)</f>
        <v>0</v>
      </c>
      <c r="R15" s="313"/>
      <c r="T15" s="332">
        <f>+IF(G15="",0*F15,IF(G15="A",F15*C15,IF(G15="M",F15*12*C15,IF(G15="B",F15*24*C15,IF(G15="F",F15*26*C15,IF(G15="W",F15*52*C15))))))*U15</f>
        <v>0</v>
      </c>
      <c r="U15" s="227" t="b">
        <f t="shared" si="5"/>
        <v>0</v>
      </c>
      <c r="V15" s="227"/>
      <c r="X15" s="228">
        <f>+(T15/C15*100%)/12</f>
        <v>0</v>
      </c>
      <c r="Z15" s="204"/>
      <c r="AA15" s="204"/>
      <c r="AB15" s="204"/>
      <c r="AT15" s="200"/>
    </row>
    <row r="16" spans="1:49" ht="18" customHeight="1">
      <c r="B16" s="3" t="s">
        <v>19</v>
      </c>
      <c r="C16" s="95">
        <v>1</v>
      </c>
      <c r="D16" s="843"/>
      <c r="E16" s="844"/>
      <c r="F16" s="496"/>
      <c r="G16" s="173"/>
      <c r="H16" s="185"/>
      <c r="I16" s="164" t="s">
        <v>36</v>
      </c>
      <c r="J16" s="75">
        <v>2</v>
      </c>
      <c r="K16" s="424"/>
      <c r="L16" s="385" t="s">
        <v>37</v>
      </c>
      <c r="M16" s="267" t="e">
        <f>+L17+#REF!</f>
        <v>#REF!</v>
      </c>
      <c r="N16" s="183"/>
      <c r="O16" s="305" t="s">
        <v>12</v>
      </c>
      <c r="P16" s="306" t="s">
        <v>28</v>
      </c>
      <c r="Q16" s="306" t="s">
        <v>16</v>
      </c>
      <c r="R16" s="314"/>
      <c r="T16" s="332">
        <f t="shared" ref="T16:T19" si="12">+IF(G16="",0*F16,IF(G16="A",F16*C16,IF(G16="M",F16*12*C16,IF(G16="B",F16*24*C16,IF(G16="F",F16*26*C16,IF(G16="W",F16*52*C16))))))*U16</f>
        <v>0</v>
      </c>
      <c r="U16" s="227" t="b">
        <f t="shared" si="5"/>
        <v>0</v>
      </c>
      <c r="V16" s="227"/>
      <c r="X16" s="228">
        <f t="shared" ref="X16:X19" si="13">+(T16/C16*100%)/12</f>
        <v>0</v>
      </c>
      <c r="Z16" s="204"/>
      <c r="AA16" s="204"/>
      <c r="AB16" s="204"/>
      <c r="AC16" s="209"/>
      <c r="AT16" s="200"/>
    </row>
    <row r="17" spans="1:50" ht="18" customHeight="1">
      <c r="B17" s="3" t="s">
        <v>22</v>
      </c>
      <c r="C17" s="1">
        <v>0.8</v>
      </c>
      <c r="D17" s="839"/>
      <c r="E17" s="840"/>
      <c r="F17" s="496"/>
      <c r="G17" s="173"/>
      <c r="H17" s="185"/>
      <c r="I17" s="164" t="s">
        <v>38</v>
      </c>
      <c r="J17" s="75">
        <v>0</v>
      </c>
      <c r="K17" s="382" t="s">
        <v>39</v>
      </c>
      <c r="L17" s="15" t="e">
        <f>+IF(Tables!H284&gt;0,+Tables!H284,"ERROR")</f>
        <v>#REF!</v>
      </c>
      <c r="M17" s="267"/>
      <c r="N17" s="183"/>
      <c r="O17" s="307" t="s">
        <v>31</v>
      </c>
      <c r="P17" s="308"/>
      <c r="Q17" s="425">
        <f>+G14</f>
        <v>0</v>
      </c>
      <c r="R17" s="314"/>
      <c r="T17" s="332">
        <f t="shared" si="12"/>
        <v>0</v>
      </c>
      <c r="U17" s="227" t="b">
        <f t="shared" si="5"/>
        <v>0</v>
      </c>
      <c r="V17" s="227"/>
      <c r="X17" s="228">
        <f t="shared" si="13"/>
        <v>0</v>
      </c>
      <c r="Z17" s="204"/>
      <c r="AA17" s="204"/>
      <c r="AB17" s="204"/>
      <c r="AC17" s="209"/>
      <c r="AT17" s="200"/>
    </row>
    <row r="18" spans="1:50" ht="18" customHeight="1">
      <c r="B18" s="3" t="s">
        <v>26</v>
      </c>
      <c r="C18" s="76">
        <v>0.8</v>
      </c>
      <c r="D18" s="839"/>
      <c r="E18" s="840"/>
      <c r="F18" s="496"/>
      <c r="G18" s="173"/>
      <c r="H18" s="185"/>
      <c r="I18" s="164" t="s">
        <v>40</v>
      </c>
      <c r="J18" s="407" t="s">
        <v>271</v>
      </c>
      <c r="K18" s="561" t="s">
        <v>41</v>
      </c>
      <c r="L18" s="15">
        <f>+IF('Living Expenses'!E32=0,"ERROR",'Living Expenses'!E32)</f>
        <v>1</v>
      </c>
      <c r="M18" s="261"/>
      <c r="N18" s="183"/>
      <c r="O18" s="300" t="s">
        <v>33</v>
      </c>
      <c r="P18" s="566">
        <v>45473</v>
      </c>
      <c r="Q18" s="315">
        <f>(P17-P18)</f>
        <v>-45473</v>
      </c>
      <c r="R18" s="314"/>
      <c r="T18" s="332">
        <f t="shared" si="12"/>
        <v>0</v>
      </c>
      <c r="U18" s="227" t="b">
        <f t="shared" si="5"/>
        <v>0</v>
      </c>
      <c r="V18" s="227"/>
      <c r="X18" s="228">
        <f t="shared" si="13"/>
        <v>0</v>
      </c>
      <c r="Z18" s="204"/>
      <c r="AA18" s="204"/>
      <c r="AB18" s="204"/>
      <c r="AC18" s="209"/>
    </row>
    <row r="19" spans="1:50" ht="18" customHeight="1" thickBot="1">
      <c r="B19" s="12" t="s">
        <v>29</v>
      </c>
      <c r="C19" s="77">
        <v>0.5</v>
      </c>
      <c r="D19" s="849"/>
      <c r="E19" s="850"/>
      <c r="F19" s="497"/>
      <c r="G19" s="175"/>
      <c r="H19" s="185"/>
      <c r="I19" s="383" t="s">
        <v>42</v>
      </c>
      <c r="J19" s="407" t="s">
        <v>271</v>
      </c>
      <c r="K19" s="384" t="s">
        <v>43</v>
      </c>
      <c r="L19" s="15">
        <f>+IF('Living Expenses'!I32=0,"ERROR",'Living Expenses'!I32)</f>
        <v>1</v>
      </c>
      <c r="M19" s="261"/>
      <c r="N19" s="183"/>
      <c r="O19" s="316" t="s">
        <v>35</v>
      </c>
      <c r="P19" s="317">
        <f>ROUNDDOWN(+IF(Q17="",0*Q18,IF(Q17="M",Q18/30.3,IF(Q17="B",Q18/15,IF(Q17="F",Q18/14+1,IF(Q17="W",Q18/7))))),0)</f>
        <v>0</v>
      </c>
      <c r="Q19" s="318"/>
      <c r="R19" s="319"/>
      <c r="S19" s="331" t="str">
        <f>+CONCATENATE(J20,J16,"+",J17)</f>
        <v>Brisbane2+0</v>
      </c>
      <c r="T19" s="332">
        <f t="shared" si="12"/>
        <v>0</v>
      </c>
      <c r="U19" s="227" t="b">
        <f t="shared" si="5"/>
        <v>0</v>
      </c>
      <c r="V19" s="227"/>
      <c r="W19" s="204"/>
      <c r="X19" s="228">
        <f t="shared" si="13"/>
        <v>0</v>
      </c>
      <c r="AC19" s="209"/>
    </row>
    <row r="20" spans="1:50" ht="18" customHeight="1" thickBot="1">
      <c r="B20" s="149"/>
      <c r="C20" s="397"/>
      <c r="D20" s="883" t="s">
        <v>293</v>
      </c>
      <c r="E20" s="883"/>
      <c r="F20" s="491">
        <v>0</v>
      </c>
      <c r="G20" s="400"/>
      <c r="H20" s="185"/>
      <c r="I20" s="164" t="s">
        <v>44</v>
      </c>
      <c r="J20" s="851" t="s">
        <v>230</v>
      </c>
      <c r="K20" s="851"/>
      <c r="L20" s="408" t="e">
        <f>IF(L17="ERROR","ERROR",IF(L18="ERROR","ERROR",IF(L19="ERROR","ERROR",+MAX(L17:L19))))</f>
        <v>#REF!</v>
      </c>
      <c r="M20" s="261"/>
      <c r="N20" s="183"/>
      <c r="O20" s="389"/>
      <c r="P20" s="306"/>
      <c r="S20" s="331"/>
      <c r="T20" s="332"/>
      <c r="U20" s="227"/>
      <c r="V20" s="227"/>
      <c r="W20" s="204"/>
      <c r="X20" s="228"/>
      <c r="AC20" s="209"/>
    </row>
    <row r="21" spans="1:50" ht="6" customHeight="1" thickBot="1">
      <c r="B21" s="190"/>
      <c r="C21" s="185"/>
      <c r="D21" s="185"/>
      <c r="E21" s="185"/>
      <c r="F21" s="185"/>
      <c r="G21" s="185"/>
      <c r="H21" s="185"/>
      <c r="I21" s="185"/>
      <c r="J21" s="185"/>
      <c r="K21" s="185"/>
      <c r="L21" s="185"/>
      <c r="M21" s="261"/>
      <c r="N21" s="183"/>
      <c r="T21" s="227"/>
      <c r="U21" s="227"/>
      <c r="V21" s="227"/>
      <c r="AT21" s="210"/>
      <c r="AU21" s="210"/>
      <c r="AV21" s="211"/>
      <c r="AW21" s="211"/>
    </row>
    <row r="22" spans="1:50" ht="18" customHeight="1" thickBot="1">
      <c r="B22" s="836" t="s">
        <v>45</v>
      </c>
      <c r="C22" s="837"/>
      <c r="D22" s="837"/>
      <c r="E22" s="837"/>
      <c r="F22" s="837"/>
      <c r="G22" s="837"/>
      <c r="H22" s="837"/>
      <c r="I22" s="837"/>
      <c r="J22" s="837"/>
      <c r="K22" s="837"/>
      <c r="L22" s="838"/>
      <c r="M22" s="261"/>
      <c r="N22" s="183"/>
      <c r="T22" s="227">
        <f>+T8+T9/C9+T10/C10+T11/C11+T12/C12+T13/C13+T14+T15/C15+T16/C16+T17/C17+T18/C18+T19/C19</f>
        <v>0</v>
      </c>
      <c r="U22" s="227"/>
      <c r="V22" s="227">
        <f>(SUM(V7:V19)-V14)*12</f>
        <v>0</v>
      </c>
      <c r="AT22" s="210"/>
      <c r="AU22" s="210"/>
      <c r="AV22" s="211"/>
      <c r="AW22" s="211"/>
    </row>
    <row r="23" spans="1:50" ht="35.25" customHeight="1">
      <c r="B23" s="392" t="s">
        <v>46</v>
      </c>
      <c r="C23" s="393" t="s">
        <v>47</v>
      </c>
      <c r="D23" s="393" t="s">
        <v>48</v>
      </c>
      <c r="E23" s="393" t="s">
        <v>49</v>
      </c>
      <c r="F23" s="393" t="s">
        <v>50</v>
      </c>
      <c r="G23" s="393" t="s">
        <v>51</v>
      </c>
      <c r="H23" s="393" t="s">
        <v>52</v>
      </c>
      <c r="I23" s="393" t="s">
        <v>53</v>
      </c>
      <c r="J23" s="395" t="e">
        <f>+CONCATENATE("Repay pm ",T24)</f>
        <v>#N/A</v>
      </c>
      <c r="K23" s="393" t="s">
        <v>54</v>
      </c>
      <c r="L23" s="394" t="s">
        <v>55</v>
      </c>
      <c r="M23" s="9" t="s">
        <v>56</v>
      </c>
      <c r="N23" s="416" t="s">
        <v>57</v>
      </c>
      <c r="O23" s="562" t="s">
        <v>58</v>
      </c>
      <c r="S23" s="116" t="s">
        <v>61</v>
      </c>
      <c r="T23" s="214" t="e">
        <f>+IF(J19="Yes",VLOOKUP(D24,NSRRate,5,FALSE),VLOOKUP(D24,NSRRate,4,FALSE))</f>
        <v>#N/A</v>
      </c>
      <c r="U23" s="214"/>
      <c r="V23" s="396"/>
      <c r="AT23" s="210"/>
      <c r="AU23" s="210"/>
      <c r="AV23" s="211"/>
      <c r="AW23" s="211"/>
      <c r="AX23" s="212"/>
    </row>
    <row r="24" spans="1:50" ht="18" customHeight="1">
      <c r="A24" s="337" t="e">
        <f>IF(H24="Y","Y","")</f>
        <v>#N/A</v>
      </c>
      <c r="B24" s="3" t="s">
        <v>60</v>
      </c>
      <c r="C24" s="364"/>
      <c r="D24" s="449"/>
      <c r="E24" s="412" t="e">
        <f>+VLOOKUP(D24,Rates,3,FALSE)-F20</f>
        <v>#N/A</v>
      </c>
      <c r="F24" s="4" t="s">
        <v>61</v>
      </c>
      <c r="G24" s="87">
        <v>360</v>
      </c>
      <c r="H24" s="437" t="e">
        <f>+VLOOKUP(D24,Tables!A155:F268,6,FALSE)</f>
        <v>#N/A</v>
      </c>
      <c r="I24" s="5" t="e">
        <f>+IF(C24=0,0,IF(D24="Flexicredit",C24*0.05,IF(D24="Credit Card",-PMT(E24/12,36,C24,0),-PMT(E24/12,G24,C24,0))))+P24</f>
        <v>#N/A</v>
      </c>
      <c r="J24" s="5" t="e">
        <f>+IF(C24=0,0,IF(D24="Flexicredit",C24*0.05,IF(D24="Credit Card",-PMT(E24/12,36,C24,0),-PMT($T$24/12,G24,C24,0))))+P24</f>
        <v>#N/A</v>
      </c>
      <c r="K24" s="412" t="str">
        <f>+IF(L24=0," ",C24/L24)</f>
        <v xml:space="preserve"> </v>
      </c>
      <c r="L24" s="83"/>
      <c r="M24" s="328" t="e">
        <f>IF(H24="IO",+J24-I24,IF(J19="YES",J24-V24,0))</f>
        <v>#N/A</v>
      </c>
      <c r="N24" s="327"/>
      <c r="O24" s="415" t="e">
        <f>+IF(J24&gt;I24,J24/I24,"")</f>
        <v>#N/A</v>
      </c>
      <c r="P24" s="438" t="e">
        <f>+VLOOKUP(D24,Tables!A155:G268,7,FALSE)</f>
        <v>#N/A</v>
      </c>
      <c r="S24" s="116" t="e">
        <f t="shared" ref="S24:S34" si="14">+IF(F24="MOVE",IF(A24="Y",0,C24))</f>
        <v>#N/A</v>
      </c>
      <c r="T24" s="214" t="e">
        <f>+IF($J$19="","ERROR",IF($J$19="Yes",VLOOKUP($D$24,NSRRate,5,FALSE),VLOOKUP($D$24,NSRRate,4,FALSE)))</f>
        <v>#N/A</v>
      </c>
      <c r="U24" s="214" t="e">
        <f>+VLOOKUP($D$24,NSRRate,4,FALSE)</f>
        <v>#N/A</v>
      </c>
      <c r="V24" s="401" t="e">
        <f>-PMT($U$24/12,G24,C24,0)</f>
        <v>#N/A</v>
      </c>
      <c r="W24" s="214" t="e">
        <f>+T24-E24</f>
        <v>#N/A</v>
      </c>
      <c r="AS24" s="211"/>
      <c r="AT24" s="210"/>
      <c r="AU24" s="210"/>
    </row>
    <row r="25" spans="1:50" ht="18" customHeight="1">
      <c r="A25" s="337" t="str">
        <f>IF(H25="Y","Y","")</f>
        <v/>
      </c>
      <c r="B25" s="3" t="s">
        <v>62</v>
      </c>
      <c r="C25" s="365"/>
      <c r="D25" s="81"/>
      <c r="E25" s="80"/>
      <c r="F25" s="81"/>
      <c r="G25" s="79"/>
      <c r="H25" s="128"/>
      <c r="I25" s="6">
        <f>+IF(C25=0,0,IF(H25="Y",0,IF(H25=0.5,-(PMT(E25/12,G25,C25,0)*H25),-(PMT(E25/12,G25,C25,0)))))</f>
        <v>0</v>
      </c>
      <c r="J25" s="6">
        <f>+IF(C25=0,0,+IF(H25="Y",0,IF(H25=0.5,-(PMT(T25/12,G25,C25,0)*H25),-(PMT(T25/12,G25,C25,0)))))</f>
        <v>0</v>
      </c>
      <c r="K25" s="490">
        <f>+IF(C25=0,0,C25/L25)</f>
        <v>0</v>
      </c>
      <c r="L25" s="83"/>
      <c r="M25" s="329">
        <f>+J25-I25</f>
        <v>0</v>
      </c>
      <c r="N25" s="327"/>
      <c r="O25" s="415" t="str">
        <f t="shared" ref="O25:O28" si="15">+IF(J25&gt;I25,J25/I25,"")</f>
        <v/>
      </c>
      <c r="P25" s="215"/>
      <c r="S25" s="116" t="b">
        <f t="shared" si="14"/>
        <v>0</v>
      </c>
      <c r="T25" s="214">
        <f>IF((E25+Tables!$C$151)&lt;Tables!$C$152,Tables!$C$152,E25+Tables!$C$151)</f>
        <v>5.5E-2</v>
      </c>
      <c r="U25" s="216"/>
      <c r="AN25" s="217"/>
    </row>
    <row r="26" spans="1:50" ht="18" customHeight="1">
      <c r="A26" s="337" t="str">
        <f t="shared" ref="A26:A39" si="16">IF(H26="Y","Y","")</f>
        <v/>
      </c>
      <c r="B26" s="269" t="s">
        <v>62</v>
      </c>
      <c r="C26" s="365"/>
      <c r="D26" s="81"/>
      <c r="E26" s="80"/>
      <c r="F26" s="81"/>
      <c r="G26" s="79"/>
      <c r="H26" s="128"/>
      <c r="I26" s="6">
        <f>+IF(C26=0,0,IF(H26="Y",0,IF(H26=0.5,-(PMT(E26/12,G26,C26,0)*H26),-(PMT(E26/12,G26,C26,0)))))</f>
        <v>0</v>
      </c>
      <c r="J26" s="6">
        <f>+IF(C26=0,0,+IF(H26="Y",0,IF(H26=0.5,-(PMT(T26/12,G26,C26,0)*H26),-(PMT(T26/12,G26,C26,0)))))</f>
        <v>0</v>
      </c>
      <c r="K26" s="490">
        <f>+IF(C26=0,0,C26/L26)</f>
        <v>0</v>
      </c>
      <c r="L26" s="83"/>
      <c r="M26" s="329">
        <f t="shared" ref="M26:M28" si="17">+J26-I26</f>
        <v>0</v>
      </c>
      <c r="N26" s="327"/>
      <c r="O26" s="415" t="str">
        <f t="shared" si="15"/>
        <v/>
      </c>
      <c r="P26" s="215"/>
      <c r="S26" s="116" t="b">
        <f t="shared" si="14"/>
        <v>0</v>
      </c>
      <c r="T26" s="214">
        <f>IF((E26+Tables!$C$151)&lt;Tables!$C$152,Tables!$C$152,E26+Tables!$C$151)</f>
        <v>5.5E-2</v>
      </c>
      <c r="U26" s="216"/>
    </row>
    <row r="27" spans="1:50" ht="18" customHeight="1">
      <c r="A27" s="337" t="str">
        <f t="shared" si="16"/>
        <v/>
      </c>
      <c r="B27" s="269" t="s">
        <v>63</v>
      </c>
      <c r="C27" s="365"/>
      <c r="D27" s="81"/>
      <c r="E27" s="80"/>
      <c r="F27" s="81"/>
      <c r="G27" s="79"/>
      <c r="H27" s="128"/>
      <c r="I27" s="6">
        <f>+IF(C27=0,0,IF(H27="Y",0,IF(H27=0.5,-(PMT(E27/12,G27,C27,0)*H27),-(PMT(E27/12,G27,C27,0)))))</f>
        <v>0</v>
      </c>
      <c r="J27" s="6">
        <f>+IF(C27=0,0,+IF(H27="Y",0,IF(H27=0.5,-(PMT(T27/12,G27,C27,0)*H27),-(PMT(T27/12,G27,C27,0)))))</f>
        <v>0</v>
      </c>
      <c r="K27" s="490">
        <f>+IF(C27=0,0,C27/L27)</f>
        <v>0</v>
      </c>
      <c r="L27" s="83"/>
      <c r="M27" s="329">
        <f t="shared" si="17"/>
        <v>0</v>
      </c>
      <c r="N27" s="327"/>
      <c r="O27" s="415" t="str">
        <f t="shared" si="15"/>
        <v/>
      </c>
      <c r="P27" s="215"/>
      <c r="R27" s="213"/>
      <c r="S27" s="116" t="b">
        <f t="shared" si="14"/>
        <v>0</v>
      </c>
      <c r="T27" s="214">
        <f>IF((E27+Tables!$C$151)&lt;Tables!$C$152,Tables!$C$152,E27+Tables!$C$151)</f>
        <v>5.5E-2</v>
      </c>
      <c r="U27" s="216"/>
      <c r="AN27" s="216"/>
    </row>
    <row r="28" spans="1:50" ht="18" customHeight="1">
      <c r="A28" s="337" t="str">
        <f t="shared" si="16"/>
        <v/>
      </c>
      <c r="B28" s="269" t="s">
        <v>63</v>
      </c>
      <c r="C28" s="365"/>
      <c r="D28" s="81"/>
      <c r="E28" s="80"/>
      <c r="F28" s="81"/>
      <c r="G28" s="79"/>
      <c r="H28" s="128"/>
      <c r="I28" s="6">
        <f>+IF(C28=0,0,IF(H28="Y",0,IF(H28=0.5,-(PMT(E28/12,G28,C28,0)*H28),-(PMT(E28/12,G28,C28,0)))))</f>
        <v>0</v>
      </c>
      <c r="J28" s="6">
        <f>+IF(C28=0,0,+IF(H28="Y",0,IF(H28=0.5,-(PMT(T28/12,G28,C28,0)*H28),-(PMT(T28/12,G28,C28,0)))))</f>
        <v>0</v>
      </c>
      <c r="K28" s="490">
        <f>+IF(C28=0,0,C28/L28)</f>
        <v>0</v>
      </c>
      <c r="L28" s="83"/>
      <c r="M28" s="329">
        <f t="shared" si="17"/>
        <v>0</v>
      </c>
      <c r="N28" s="327"/>
      <c r="O28" s="415" t="str">
        <f t="shared" si="15"/>
        <v/>
      </c>
      <c r="P28" s="215"/>
      <c r="R28" s="213"/>
      <c r="S28" s="116" t="b">
        <f t="shared" si="14"/>
        <v>0</v>
      </c>
      <c r="T28" s="214">
        <f>IF((E28+Tables!$C$151)&lt;Tables!$C$152,Tables!$C$152,E28+Tables!$C$151)</f>
        <v>5.5E-2</v>
      </c>
      <c r="U28" s="216"/>
    </row>
    <row r="29" spans="1:50" ht="18" customHeight="1">
      <c r="A29" s="337" t="str">
        <f t="shared" si="16"/>
        <v/>
      </c>
      <c r="B29" s="8" t="s">
        <v>64</v>
      </c>
      <c r="C29" s="365"/>
      <c r="D29" s="260"/>
      <c r="E29" s="82"/>
      <c r="F29" s="81"/>
      <c r="G29" s="96"/>
      <c r="H29" s="129"/>
      <c r="I29" s="6">
        <f>+IF(H29="Y",0,T29)</f>
        <v>0</v>
      </c>
      <c r="J29" s="6">
        <f t="shared" ref="J29:J39" si="18">+I29</f>
        <v>0</v>
      </c>
      <c r="K29" s="98"/>
      <c r="L29" s="97"/>
      <c r="N29" s="327"/>
      <c r="P29" s="215"/>
      <c r="R29" s="208"/>
      <c r="S29" s="116" t="b">
        <f t="shared" si="14"/>
        <v>0</v>
      </c>
      <c r="T29" s="199">
        <f>+IF(D29="",E29*0,IF(D29="A",E29/12,IF(D29="M",E29,IF(D29="B",E29*24/12,IF(D29="F",E29*26/12,IF(D29="W",E29*52/12))))))*U29</f>
        <v>0</v>
      </c>
      <c r="U29" s="116" t="b">
        <f t="shared" ref="U29:U34" si="19">+IF(E29&gt;0,IF(D29="","Error",1))</f>
        <v>0</v>
      </c>
      <c r="V29" s="208"/>
      <c r="W29" s="208"/>
      <c r="AC29" s="208"/>
      <c r="AD29" s="208"/>
      <c r="AE29" s="208"/>
      <c r="AF29" s="208"/>
      <c r="AG29" s="208"/>
      <c r="AH29" s="208"/>
      <c r="AI29" s="208"/>
      <c r="AJ29" s="208"/>
      <c r="AK29" s="208"/>
      <c r="AL29" s="208"/>
      <c r="AM29" s="208"/>
      <c r="AN29" s="208"/>
      <c r="AO29" s="208"/>
      <c r="AP29" s="218"/>
      <c r="AQ29" s="208"/>
      <c r="AR29" s="208"/>
    </row>
    <row r="30" spans="1:50" ht="18" customHeight="1">
      <c r="A30" s="337" t="str">
        <f t="shared" si="16"/>
        <v/>
      </c>
      <c r="B30" s="270" t="s">
        <v>64</v>
      </c>
      <c r="C30" s="365"/>
      <c r="D30" s="260"/>
      <c r="E30" s="82"/>
      <c r="F30" s="81"/>
      <c r="G30" s="96"/>
      <c r="H30" s="129"/>
      <c r="I30" s="6">
        <f>+IF(H30="Y",0,T30)</f>
        <v>0</v>
      </c>
      <c r="J30" s="6">
        <f t="shared" ref="J30" si="20">+I30</f>
        <v>0</v>
      </c>
      <c r="K30" s="98"/>
      <c r="L30" s="97"/>
      <c r="N30" s="327"/>
      <c r="P30" s="215"/>
      <c r="R30" s="208"/>
      <c r="S30" s="116" t="b">
        <f t="shared" si="14"/>
        <v>0</v>
      </c>
      <c r="T30" s="199">
        <f>+IF(D30="",E30*0,IF(D30="A",E30/12,IF(D30="M",E30,IF(D30="B",E30*24/12,IF(D30="F",E30*26/12,IF(D30="W",E30*52/12))))))*U30</f>
        <v>0</v>
      </c>
      <c r="U30" s="116" t="b">
        <f t="shared" si="19"/>
        <v>0</v>
      </c>
      <c r="V30" s="208"/>
      <c r="W30" s="208"/>
      <c r="AC30" s="208"/>
      <c r="AD30" s="208"/>
      <c r="AE30" s="208"/>
      <c r="AF30" s="208"/>
      <c r="AG30" s="208"/>
      <c r="AH30" s="208"/>
      <c r="AI30" s="208"/>
      <c r="AJ30" s="208"/>
      <c r="AK30" s="208"/>
      <c r="AL30" s="208"/>
      <c r="AM30" s="208"/>
      <c r="AN30" s="208"/>
      <c r="AO30" s="208"/>
      <c r="AP30" s="218"/>
      <c r="AQ30" s="208"/>
      <c r="AR30" s="208"/>
    </row>
    <row r="31" spans="1:50" ht="18" customHeight="1">
      <c r="A31" s="337" t="str">
        <f t="shared" si="16"/>
        <v/>
      </c>
      <c r="B31" s="3" t="s">
        <v>65</v>
      </c>
      <c r="C31" s="365"/>
      <c r="D31" s="260"/>
      <c r="E31" s="82"/>
      <c r="F31" s="81"/>
      <c r="G31" s="96"/>
      <c r="H31" s="129"/>
      <c r="I31" s="6">
        <f>+IF(H31="Y",0,T31)</f>
        <v>0</v>
      </c>
      <c r="J31" s="6">
        <f t="shared" si="18"/>
        <v>0</v>
      </c>
      <c r="K31" s="96"/>
      <c r="L31" s="97"/>
      <c r="N31" s="327"/>
      <c r="P31" s="215"/>
      <c r="R31" s="208"/>
      <c r="S31" s="116" t="b">
        <f t="shared" si="14"/>
        <v>0</v>
      </c>
      <c r="T31" s="199">
        <f>+IF(D31="",E31*0,IF(D31="A",E31/12,IF(D31="M",E31,IF(D31="B",E31*24/12,IF(D31="F",E31*26/12,IF(D31="W",E31*52/12))))))*U31</f>
        <v>0</v>
      </c>
      <c r="U31" s="116" t="b">
        <f t="shared" si="19"/>
        <v>0</v>
      </c>
      <c r="AC31" s="208"/>
      <c r="AD31" s="208"/>
      <c r="AE31" s="208"/>
      <c r="AF31" s="208"/>
      <c r="AG31" s="208"/>
      <c r="AH31" s="208"/>
      <c r="AI31" s="208"/>
      <c r="AJ31" s="208"/>
      <c r="AK31" s="208"/>
      <c r="AL31" s="208"/>
      <c r="AM31" s="208"/>
      <c r="AN31" s="208"/>
      <c r="AO31" s="208"/>
      <c r="AP31" s="218"/>
      <c r="AQ31" s="208"/>
      <c r="AR31" s="208"/>
    </row>
    <row r="32" spans="1:50" ht="18" customHeight="1">
      <c r="A32" s="337" t="str">
        <f t="shared" si="16"/>
        <v/>
      </c>
      <c r="B32" s="16" t="s">
        <v>66</v>
      </c>
      <c r="C32" s="93" t="str">
        <f>+CONCATENATE("Min. $",Tables!C376," pm")</f>
        <v>Min. $500 pm</v>
      </c>
      <c r="D32" s="260"/>
      <c r="E32" s="82"/>
      <c r="F32" s="81"/>
      <c r="G32" s="99"/>
      <c r="H32" s="128"/>
      <c r="I32" s="6">
        <f>+IF(E32="",0,IF(T32&lt;Tables!C376,Tables!C376,IF(H32=0.5,T32*0.5,T32)))</f>
        <v>0</v>
      </c>
      <c r="J32" s="6">
        <f t="shared" si="18"/>
        <v>0</v>
      </c>
      <c r="K32" s="96"/>
      <c r="L32" s="97"/>
      <c r="N32" s="327"/>
      <c r="O32" s="115"/>
      <c r="P32" s="215"/>
      <c r="R32" s="208"/>
      <c r="T32" s="199">
        <f t="shared" ref="T32:T33" si="21">+IF(D32="",E32*0,IF(D32="A",E32/12,IF(D32="M",E32,IF(D32="B",E32*24/12,IF(D32="F",E32*26/12,IF(D32="W",E32*52/12))))))*U32</f>
        <v>0</v>
      </c>
      <c r="U32" s="116" t="b">
        <f t="shared" si="19"/>
        <v>0</v>
      </c>
      <c r="AC32" s="208"/>
      <c r="AD32" s="208"/>
      <c r="AE32" s="208"/>
      <c r="AF32" s="208"/>
      <c r="AG32" s="208"/>
      <c r="AH32" s="208"/>
      <c r="AI32" s="208"/>
      <c r="AJ32" s="208"/>
      <c r="AK32" s="208"/>
      <c r="AL32" s="208"/>
      <c r="AM32" s="208"/>
      <c r="AN32" s="208"/>
      <c r="AO32" s="208"/>
      <c r="AP32" s="218"/>
      <c r="AQ32" s="208"/>
      <c r="AR32" s="208"/>
    </row>
    <row r="33" spans="1:44" ht="18" customHeight="1">
      <c r="A33" s="337" t="str">
        <f t="shared" si="16"/>
        <v/>
      </c>
      <c r="B33" s="3" t="s">
        <v>67</v>
      </c>
      <c r="C33" s="78"/>
      <c r="D33" s="260"/>
      <c r="E33" s="82"/>
      <c r="F33" s="81"/>
      <c r="G33" s="96"/>
      <c r="H33" s="129"/>
      <c r="I33" s="6">
        <f t="shared" ref="I33:I34" si="22">+IF(H33="Y",0,T33)</f>
        <v>0</v>
      </c>
      <c r="J33" s="6">
        <f>+I33</f>
        <v>0</v>
      </c>
      <c r="K33" s="96"/>
      <c r="L33" s="97"/>
      <c r="N33" s="327"/>
      <c r="O33" s="115"/>
      <c r="P33" s="219"/>
      <c r="R33" s="208"/>
      <c r="S33" s="116" t="b">
        <f t="shared" si="14"/>
        <v>0</v>
      </c>
      <c r="T33" s="199">
        <f t="shared" si="21"/>
        <v>0</v>
      </c>
      <c r="U33" s="116" t="b">
        <f t="shared" si="19"/>
        <v>0</v>
      </c>
      <c r="V33" s="413"/>
      <c r="W33" s="208"/>
      <c r="AC33" s="208"/>
      <c r="AD33" s="208"/>
      <c r="AE33" s="208"/>
      <c r="AF33" s="208"/>
      <c r="AG33" s="208"/>
      <c r="AH33" s="208"/>
      <c r="AI33" s="208"/>
      <c r="AJ33" s="208"/>
      <c r="AK33" s="208"/>
      <c r="AL33" s="208"/>
      <c r="AM33" s="208"/>
      <c r="AN33" s="208"/>
      <c r="AO33" s="208"/>
      <c r="AP33" s="218"/>
      <c r="AQ33" s="208"/>
      <c r="AR33" s="208"/>
    </row>
    <row r="34" spans="1:44" ht="18" customHeight="1">
      <c r="A34" s="337" t="str">
        <f t="shared" si="16"/>
        <v/>
      </c>
      <c r="B34" s="3" t="s">
        <v>67</v>
      </c>
      <c r="C34" s="78"/>
      <c r="D34" s="260"/>
      <c r="E34" s="82"/>
      <c r="F34" s="81"/>
      <c r="G34" s="96"/>
      <c r="H34" s="129"/>
      <c r="I34" s="6">
        <f t="shared" si="22"/>
        <v>0</v>
      </c>
      <c r="J34" s="6">
        <f>+I34</f>
        <v>0</v>
      </c>
      <c r="K34" s="96"/>
      <c r="L34" s="97"/>
      <c r="N34" s="327"/>
      <c r="O34" s="115"/>
      <c r="P34" s="219"/>
      <c r="R34" s="208"/>
      <c r="S34" s="116" t="b">
        <f t="shared" si="14"/>
        <v>0</v>
      </c>
      <c r="T34" s="199">
        <f t="shared" ref="T34" si="23">+IF(D34="",E34*0,IF(D34="A",E34/12,IF(D34="M",E34,IF(D34="B",E34*24/12,IF(D34="F",E34*26/12,IF(D34="W",E34*52/12))))))*U34</f>
        <v>0</v>
      </c>
      <c r="U34" s="116" t="b">
        <f t="shared" si="19"/>
        <v>0</v>
      </c>
      <c r="V34" s="413"/>
      <c r="W34" s="208"/>
      <c r="AC34" s="208"/>
      <c r="AD34" s="208"/>
      <c r="AE34" s="208"/>
      <c r="AF34" s="208"/>
      <c r="AG34" s="208"/>
      <c r="AH34" s="208"/>
      <c r="AI34" s="208"/>
      <c r="AJ34" s="208"/>
      <c r="AK34" s="208"/>
      <c r="AL34" s="208"/>
      <c r="AM34" s="208"/>
      <c r="AN34" s="208"/>
      <c r="AO34" s="208"/>
      <c r="AP34" s="218"/>
      <c r="AQ34" s="208"/>
      <c r="AR34" s="208"/>
    </row>
    <row r="35" spans="1:44" ht="18" customHeight="1">
      <c r="A35" s="337" t="str">
        <f t="shared" si="16"/>
        <v/>
      </c>
      <c r="B35" s="269" t="s">
        <v>68</v>
      </c>
      <c r="C35" s="78"/>
      <c r="D35" s="161">
        <f>+IF(B35="overdraft",5%,3.8%)</f>
        <v>0.05</v>
      </c>
      <c r="E35" s="82"/>
      <c r="F35" s="81"/>
      <c r="G35" s="96"/>
      <c r="H35" s="129"/>
      <c r="I35" s="6">
        <f>+IF(H35="Y",0,E35*D35)</f>
        <v>0</v>
      </c>
      <c r="J35" s="6">
        <f t="shared" si="18"/>
        <v>0</v>
      </c>
      <c r="K35" s="96"/>
      <c r="L35" s="97"/>
      <c r="N35" s="327"/>
      <c r="P35" s="219"/>
      <c r="R35" s="208"/>
      <c r="S35" s="116" t="b">
        <f>+IF(F35="MOVE",IF(A35="Y",0,E35))</f>
        <v>0</v>
      </c>
      <c r="T35" s="199"/>
      <c r="W35" s="208"/>
      <c r="AC35" s="208"/>
      <c r="AD35" s="208"/>
      <c r="AE35" s="208"/>
      <c r="AF35" s="208"/>
      <c r="AG35" s="208"/>
      <c r="AH35" s="208"/>
      <c r="AI35" s="208"/>
      <c r="AJ35" s="208"/>
      <c r="AK35" s="208"/>
      <c r="AL35" s="208"/>
      <c r="AM35" s="208"/>
      <c r="AN35" s="208"/>
      <c r="AO35" s="208"/>
      <c r="AP35" s="218"/>
      <c r="AQ35" s="208"/>
      <c r="AR35" s="208"/>
    </row>
    <row r="36" spans="1:44" ht="18" customHeight="1">
      <c r="A36" s="337" t="str">
        <f t="shared" si="16"/>
        <v/>
      </c>
      <c r="B36" s="3" t="s">
        <v>69</v>
      </c>
      <c r="C36" s="78"/>
      <c r="D36" s="537">
        <v>3.7999999999999999E-2</v>
      </c>
      <c r="E36" s="82"/>
      <c r="F36" s="81"/>
      <c r="G36" s="96"/>
      <c r="H36" s="129"/>
      <c r="I36" s="6">
        <f>+IF(H36="Y",0,IF(AND(H36="Exc",C36=0),0,D36*E36))</f>
        <v>0</v>
      </c>
      <c r="J36" s="6">
        <f t="shared" si="18"/>
        <v>0</v>
      </c>
      <c r="K36" s="96"/>
      <c r="L36" s="97"/>
      <c r="M36" s="220"/>
      <c r="N36" s="327"/>
      <c r="O36" s="221"/>
      <c r="P36" s="219"/>
      <c r="Q36" s="221"/>
      <c r="R36" s="221"/>
      <c r="S36" s="116" t="b">
        <f t="shared" ref="S36:S39" si="24">+IF(F36="MOVE",IF(A36="Y",0,E36))</f>
        <v>0</v>
      </c>
      <c r="T36" s="221"/>
      <c r="U36" s="221"/>
      <c r="V36" s="221"/>
      <c r="W36" s="221"/>
      <c r="AC36" s="208"/>
      <c r="AD36" s="208"/>
      <c r="AE36" s="208"/>
      <c r="AF36" s="208"/>
      <c r="AG36" s="208"/>
      <c r="AH36" s="208"/>
      <c r="AI36" s="208"/>
      <c r="AJ36" s="208"/>
      <c r="AK36" s="208"/>
      <c r="AL36" s="208"/>
      <c r="AM36" s="208"/>
      <c r="AN36" s="208"/>
      <c r="AO36" s="208"/>
      <c r="AP36" s="218"/>
      <c r="AQ36" s="208"/>
      <c r="AR36" s="208"/>
    </row>
    <row r="37" spans="1:44" ht="18" customHeight="1">
      <c r="A37" s="337" t="str">
        <f t="shared" si="16"/>
        <v/>
      </c>
      <c r="B37" s="3" t="s">
        <v>69</v>
      </c>
      <c r="C37" s="78"/>
      <c r="D37" s="161">
        <v>3.7999999999999999E-2</v>
      </c>
      <c r="E37" s="82"/>
      <c r="F37" s="81"/>
      <c r="G37" s="96"/>
      <c r="H37" s="129"/>
      <c r="I37" s="6">
        <f>+IF(H37="Y",0,IF(AND(H37="Exc",C37=0),0,D37*E37))</f>
        <v>0</v>
      </c>
      <c r="J37" s="6">
        <f t="shared" ref="J37" si="25">+I37</f>
        <v>0</v>
      </c>
      <c r="K37" s="96"/>
      <c r="L37" s="97"/>
      <c r="M37" s="220"/>
      <c r="N37" s="327"/>
      <c r="O37" s="221"/>
      <c r="P37" s="219"/>
      <c r="Q37" s="221"/>
      <c r="R37" s="221"/>
      <c r="S37" s="116" t="b">
        <f t="shared" si="24"/>
        <v>0</v>
      </c>
      <c r="T37" s="221"/>
      <c r="U37" s="221"/>
      <c r="V37" s="221"/>
      <c r="W37" s="221"/>
      <c r="AC37" s="208"/>
      <c r="AD37" s="208"/>
      <c r="AE37" s="208"/>
      <c r="AF37" s="208"/>
      <c r="AG37" s="208"/>
      <c r="AH37" s="208"/>
      <c r="AI37" s="208"/>
      <c r="AJ37" s="208"/>
      <c r="AK37" s="208"/>
      <c r="AL37" s="208"/>
      <c r="AM37" s="208"/>
      <c r="AN37" s="208"/>
      <c r="AO37" s="208"/>
      <c r="AP37" s="218"/>
      <c r="AQ37" s="208"/>
      <c r="AR37" s="208"/>
    </row>
    <row r="38" spans="1:44" ht="18" customHeight="1">
      <c r="A38" s="337" t="str">
        <f t="shared" si="16"/>
        <v/>
      </c>
      <c r="B38" s="3" t="s">
        <v>69</v>
      </c>
      <c r="C38" s="78"/>
      <c r="D38" s="161">
        <v>3.7999999999999999E-2</v>
      </c>
      <c r="E38" s="82"/>
      <c r="F38" s="81"/>
      <c r="G38" s="96"/>
      <c r="H38" s="129"/>
      <c r="I38" s="6">
        <f>+IF(H38="Y",0,IF(AND(H38="Exc",C38=0),0,D38*E38))</f>
        <v>0</v>
      </c>
      <c r="J38" s="6">
        <f t="shared" si="18"/>
        <v>0</v>
      </c>
      <c r="K38" s="96"/>
      <c r="L38" s="97"/>
      <c r="M38" s="220"/>
      <c r="N38" s="327"/>
      <c r="O38" s="221"/>
      <c r="P38" s="219"/>
      <c r="Q38" s="221"/>
      <c r="R38" s="221"/>
      <c r="S38" s="116" t="b">
        <f t="shared" si="24"/>
        <v>0</v>
      </c>
      <c r="U38" s="221"/>
      <c r="V38" s="221"/>
      <c r="W38" s="221"/>
      <c r="AC38" s="208"/>
      <c r="AD38" s="208"/>
      <c r="AE38" s="208"/>
      <c r="AF38" s="208"/>
      <c r="AG38" s="208"/>
      <c r="AH38" s="208"/>
      <c r="AI38" s="208"/>
      <c r="AJ38" s="208"/>
      <c r="AK38" s="208"/>
      <c r="AL38" s="208"/>
      <c r="AM38" s="208"/>
      <c r="AN38" s="208"/>
      <c r="AO38" s="208"/>
      <c r="AP38" s="218"/>
      <c r="AQ38" s="208"/>
      <c r="AR38" s="208"/>
    </row>
    <row r="39" spans="1:44" ht="18" customHeight="1">
      <c r="A39" s="337" t="str">
        <f t="shared" si="16"/>
        <v/>
      </c>
      <c r="B39" s="88" t="s">
        <v>69</v>
      </c>
      <c r="C39" s="78"/>
      <c r="D39" s="161">
        <v>3.7999999999999999E-2</v>
      </c>
      <c r="E39" s="82"/>
      <c r="F39" s="81"/>
      <c r="G39" s="96"/>
      <c r="H39" s="129"/>
      <c r="I39" s="6">
        <f>+IF(H39="Y",0,IF(AND(H39="Exc",C39=0),0,D39*E39))</f>
        <v>0</v>
      </c>
      <c r="J39" s="6">
        <f t="shared" si="18"/>
        <v>0</v>
      </c>
      <c r="K39" s="96"/>
      <c r="L39" s="97"/>
      <c r="M39" s="220"/>
      <c r="N39" s="327"/>
      <c r="O39" s="221"/>
      <c r="P39" s="215"/>
      <c r="Q39" s="221"/>
      <c r="R39" s="221"/>
      <c r="S39" s="116" t="b">
        <f t="shared" si="24"/>
        <v>0</v>
      </c>
      <c r="U39" s="222"/>
      <c r="V39" s="221"/>
      <c r="W39" s="221"/>
      <c r="AC39" s="208"/>
      <c r="AD39" s="208"/>
      <c r="AE39" s="208"/>
      <c r="AF39" s="208"/>
      <c r="AG39" s="208"/>
      <c r="AH39" s="208"/>
      <c r="AI39" s="208"/>
      <c r="AJ39" s="208"/>
      <c r="AK39" s="208"/>
      <c r="AL39" s="208"/>
      <c r="AM39" s="208"/>
      <c r="AN39" s="208"/>
      <c r="AO39" s="208"/>
      <c r="AP39" s="218"/>
      <c r="AQ39" s="208"/>
      <c r="AR39" s="208"/>
    </row>
    <row r="40" spans="1:44" ht="17.25" customHeight="1" thickBot="1">
      <c r="B40" s="253" t="s">
        <v>70</v>
      </c>
      <c r="C40" s="254">
        <f>SUMIF(A24:A39,"",C24:C39)</f>
        <v>0</v>
      </c>
      <c r="D40" s="824" t="s">
        <v>71</v>
      </c>
      <c r="E40" s="825"/>
      <c r="F40" s="255" t="e">
        <f>+S40</f>
        <v>#N/A</v>
      </c>
      <c r="G40" s="867" t="s">
        <v>72</v>
      </c>
      <c r="H40" s="868"/>
      <c r="I40" s="256" t="e">
        <f>SUM(+SUM(I24:I39))</f>
        <v>#N/A</v>
      </c>
      <c r="J40" s="257" t="e">
        <f>SUM(+SUM(J24:J39))</f>
        <v>#N/A</v>
      </c>
      <c r="K40" s="259" t="s">
        <v>73</v>
      </c>
      <c r="L40" s="258">
        <f>+SUMIF(F24:F28,"MOVE",L24:L28)</f>
        <v>0</v>
      </c>
      <c r="M40" s="223"/>
      <c r="N40" s="183"/>
      <c r="O40" s="183"/>
      <c r="P40" s="272"/>
      <c r="Q40" s="183"/>
      <c r="R40" s="218"/>
      <c r="S40" s="116" t="e">
        <f>SUM(S24:S39)</f>
        <v>#N/A</v>
      </c>
      <c r="T40" s="183" t="s">
        <v>74</v>
      </c>
      <c r="U40" s="183" t="s">
        <v>75</v>
      </c>
      <c r="V40" s="218"/>
      <c r="W40" s="218"/>
      <c r="X40" s="183"/>
      <c r="Y40" s="183"/>
      <c r="Z40" s="183"/>
      <c r="AA40" s="183"/>
      <c r="AB40" s="183"/>
      <c r="AC40" s="218"/>
      <c r="AD40" s="218"/>
      <c r="AE40" s="218"/>
      <c r="AF40" s="218"/>
      <c r="AG40" s="218"/>
      <c r="AH40" s="218"/>
      <c r="AI40" s="218"/>
      <c r="AJ40" s="218"/>
      <c r="AK40" s="218"/>
      <c r="AL40" s="218"/>
      <c r="AM40" s="218"/>
      <c r="AN40" s="218"/>
      <c r="AO40" s="218"/>
      <c r="AP40" s="224"/>
      <c r="AQ40" s="218"/>
      <c r="AR40" s="208"/>
    </row>
    <row r="41" spans="1:44" ht="5.25" customHeight="1" thickBot="1">
      <c r="B41" s="190"/>
      <c r="C41" s="185"/>
      <c r="D41" s="185"/>
      <c r="E41" s="185"/>
      <c r="F41" s="185"/>
      <c r="G41" s="185"/>
      <c r="H41" s="185"/>
      <c r="I41" s="185"/>
      <c r="J41" s="185"/>
      <c r="K41" s="185"/>
      <c r="L41" s="246"/>
      <c r="N41" s="183"/>
      <c r="O41" s="274" t="s">
        <v>76</v>
      </c>
      <c r="P41" s="272"/>
      <c r="Q41" s="183"/>
      <c r="R41" s="218"/>
      <c r="S41" s="183"/>
      <c r="T41" s="183"/>
      <c r="U41" s="183"/>
      <c r="V41" s="183"/>
      <c r="W41" s="183"/>
      <c r="X41" s="183"/>
      <c r="Y41" s="183"/>
      <c r="Z41" s="183"/>
      <c r="AA41" s="183"/>
      <c r="AB41" s="183"/>
      <c r="AC41" s="218"/>
      <c r="AD41" s="218"/>
      <c r="AE41" s="218"/>
      <c r="AF41" s="218"/>
      <c r="AG41" s="218"/>
      <c r="AH41" s="218"/>
      <c r="AI41" s="218"/>
      <c r="AJ41" s="218"/>
      <c r="AK41" s="218"/>
      <c r="AL41" s="218"/>
      <c r="AM41" s="218"/>
      <c r="AN41" s="218"/>
      <c r="AO41" s="218"/>
      <c r="AP41" s="218"/>
      <c r="AQ41" s="218"/>
      <c r="AR41" s="208"/>
    </row>
    <row r="42" spans="1:44" ht="18" customHeight="1">
      <c r="B42" s="781" t="s">
        <v>77</v>
      </c>
      <c r="C42" s="799"/>
      <c r="D42" s="799"/>
      <c r="E42" s="799"/>
      <c r="F42" s="799"/>
      <c r="G42" s="799"/>
      <c r="H42" s="799"/>
      <c r="I42" s="799"/>
      <c r="J42" s="799"/>
      <c r="K42" s="799"/>
      <c r="L42" s="800"/>
      <c r="N42" s="183"/>
      <c r="O42" s="275"/>
      <c r="P42" s="272"/>
      <c r="Q42" s="276"/>
      <c r="R42" s="276"/>
      <c r="S42" s="276"/>
      <c r="T42" s="276">
        <f>+Tables!B313</f>
        <v>27222</v>
      </c>
      <c r="U42" s="183">
        <f>+Tables!B314</f>
        <v>34027</v>
      </c>
      <c r="V42" s="183" t="s">
        <v>78</v>
      </c>
      <c r="W42" s="183"/>
      <c r="X42" s="183"/>
      <c r="Y42" s="183"/>
      <c r="Z42" s="183"/>
      <c r="AA42" s="183"/>
      <c r="AB42" s="218"/>
      <c r="AC42" s="218"/>
      <c r="AD42" s="218"/>
      <c r="AE42" s="218"/>
      <c r="AF42" s="218"/>
      <c r="AG42" s="218"/>
      <c r="AH42" s="218"/>
      <c r="AI42" s="218"/>
      <c r="AJ42" s="218"/>
      <c r="AK42" s="218"/>
      <c r="AL42" s="218"/>
      <c r="AM42" s="218"/>
      <c r="AN42" s="218"/>
      <c r="AO42" s="218"/>
      <c r="AP42" s="218"/>
      <c r="AQ42" s="218"/>
      <c r="AR42" s="208"/>
    </row>
    <row r="43" spans="1:44" ht="32.25" customHeight="1">
      <c r="B43" s="176" t="s">
        <v>79</v>
      </c>
      <c r="C43" s="481" t="s">
        <v>80</v>
      </c>
      <c r="D43" s="481" t="s">
        <v>81</v>
      </c>
      <c r="E43" s="481" t="s">
        <v>82</v>
      </c>
      <c r="F43" s="481" t="s">
        <v>83</v>
      </c>
      <c r="G43" s="481" t="s">
        <v>84</v>
      </c>
      <c r="H43" s="594" t="s">
        <v>294</v>
      </c>
      <c r="I43" s="481" t="s">
        <v>86</v>
      </c>
      <c r="J43" s="481" t="s">
        <v>87</v>
      </c>
      <c r="K43" s="481" t="s">
        <v>88</v>
      </c>
      <c r="L43" s="482" t="s">
        <v>89</v>
      </c>
      <c r="M43" s="482" t="s">
        <v>295</v>
      </c>
      <c r="N43" s="218"/>
      <c r="O43" s="277"/>
      <c r="P43" s="272"/>
      <c r="Q43" s="276"/>
      <c r="R43" s="276"/>
      <c r="S43" s="276"/>
      <c r="T43" s="276" t="s">
        <v>90</v>
      </c>
      <c r="U43" s="276" t="s">
        <v>91</v>
      </c>
      <c r="V43" s="183" t="s">
        <v>92</v>
      </c>
      <c r="W43" s="278" t="s">
        <v>93</v>
      </c>
      <c r="X43" s="183" t="s">
        <v>8</v>
      </c>
      <c r="Y43" s="279">
        <f>+Y44/52</f>
        <v>0</v>
      </c>
      <c r="Z43" s="183" t="s">
        <v>94</v>
      </c>
      <c r="AA43" s="183" t="s">
        <v>296</v>
      </c>
      <c r="AB43" s="280" t="s">
        <v>297</v>
      </c>
      <c r="AC43" s="280" t="s">
        <v>298</v>
      </c>
      <c r="AD43" s="280" t="s">
        <v>299</v>
      </c>
      <c r="AE43" s="218"/>
      <c r="AF43" s="218"/>
      <c r="AG43" s="218"/>
      <c r="AH43" s="280"/>
      <c r="AI43" s="280"/>
      <c r="AJ43" s="218"/>
      <c r="AK43" s="218"/>
      <c r="AL43" s="218"/>
      <c r="AM43" s="218"/>
      <c r="AN43" s="218"/>
      <c r="AO43" s="218"/>
      <c r="AP43" s="218"/>
      <c r="AQ43" s="218"/>
      <c r="AR43" s="208"/>
    </row>
    <row r="44" spans="1:44" ht="18" customHeight="1">
      <c r="B44" s="3" t="s">
        <v>99</v>
      </c>
      <c r="C44" s="13">
        <f>+SUM(T8:T13)/12</f>
        <v>0</v>
      </c>
      <c r="D44" s="14" t="e">
        <f>+T44/12</f>
        <v>#N/A</v>
      </c>
      <c r="E44" s="15" t="e">
        <f>+C44-D44</f>
        <v>#N/A</v>
      </c>
      <c r="F44" s="178"/>
      <c r="G44" s="229"/>
      <c r="H44" s="179">
        <v>2</v>
      </c>
      <c r="I44" s="178"/>
      <c r="J44" s="178"/>
      <c r="K44" s="178"/>
      <c r="L44" s="230"/>
      <c r="M44" s="329">
        <f>+Fees!L10</f>
        <v>0</v>
      </c>
      <c r="N44" s="183"/>
      <c r="O44" s="277"/>
      <c r="P44" s="276"/>
      <c r="Q44" s="276"/>
      <c r="R44" s="276"/>
      <c r="S44" s="276"/>
      <c r="T44" s="281" t="e">
        <f>+U44+V44+W44</f>
        <v>#N/A</v>
      </c>
      <c r="U44" s="276">
        <f>+IF(X$44&lt;=$T$42,0,IF(X$44&lt;=$U$42,((X44-$T$42)*Tables!$B$311),X44*Tables!$B$311))</f>
        <v>0</v>
      </c>
      <c r="V44" s="282">
        <f>+Y44</f>
        <v>0</v>
      </c>
      <c r="W44" s="282" t="e">
        <f>+Tables!D316</f>
        <v>#N/A</v>
      </c>
      <c r="X44" s="183">
        <f>+C44*12</f>
        <v>0</v>
      </c>
      <c r="Y44" s="183">
        <f>+SUM(Z44:AD44)</f>
        <v>0</v>
      </c>
      <c r="Z44" s="183">
        <f>+IF(X44&gt;=Tables!$A$308,((X44-Tables!$A$308)*Tables!$B$309)+Tables!$C$308,0)</f>
        <v>0</v>
      </c>
      <c r="AA44" s="183" t="b">
        <f>+IF(Z44=0,IF(X44&gt;=Tables!$A$307,(X44-Tables!$A$307)*Tables!$B$308+Tables!$C$307),0)</f>
        <v>0</v>
      </c>
      <c r="AB44" s="218" t="b">
        <f>+IF(SUM(Z44:AA44)=0,IF(X44&gt;=Tables!$A$306,(X44-Tables!$A$306)*Tables!$B$307+Tables!$C$306),0)</f>
        <v>0</v>
      </c>
      <c r="AC44" s="218" t="b">
        <f>+IF(SUM(Z44:AB44)=0,IF(X44&gt;=Tables!$A$305,(X44-Tables!$A$305)*Tables!$B$306+Tables!$C$305),0)</f>
        <v>0</v>
      </c>
      <c r="AD44" s="218">
        <f>+IF(SUM(Z44:AC44)=0,IF(X44&lt;=Tables!$A$305,0,0))</f>
        <v>0</v>
      </c>
      <c r="AE44" s="218"/>
      <c r="AF44" s="218"/>
      <c r="AG44" s="218"/>
      <c r="AH44" s="218"/>
      <c r="AI44" s="218"/>
      <c r="AJ44" s="183"/>
      <c r="AK44" s="218"/>
      <c r="AL44" s="218"/>
      <c r="AM44" s="218"/>
      <c r="AN44" s="218"/>
      <c r="AO44" s="218"/>
      <c r="AP44" s="218"/>
      <c r="AQ44" s="218"/>
      <c r="AR44" s="208"/>
    </row>
    <row r="45" spans="1:44" ht="18" customHeight="1">
      <c r="B45" s="3" t="s">
        <v>100</v>
      </c>
      <c r="C45" s="13">
        <f>+SUM(T14:T19)/12</f>
        <v>0</v>
      </c>
      <c r="D45" s="14">
        <f>+T45/12</f>
        <v>0</v>
      </c>
      <c r="E45" s="15">
        <f>+C45-D45</f>
        <v>0</v>
      </c>
      <c r="F45" s="178"/>
      <c r="G45" s="229"/>
      <c r="H45" s="179">
        <v>2</v>
      </c>
      <c r="I45" s="178"/>
      <c r="J45" s="178"/>
      <c r="K45" s="178"/>
      <c r="L45" s="230"/>
      <c r="M45" s="329">
        <f>+Fees!L18</f>
        <v>0</v>
      </c>
      <c r="N45" s="183"/>
      <c r="O45" s="277"/>
      <c r="P45" s="276"/>
      <c r="Q45" s="276"/>
      <c r="R45" s="276"/>
      <c r="S45" s="276"/>
      <c r="T45" s="281">
        <f>+U45+V45+W45</f>
        <v>0</v>
      </c>
      <c r="U45" s="276">
        <f>+IF(X$45&lt;=$T$42,0,IF(X$45&lt;=$U$42,((X45-$T$42)*Tables!$B$311),X45*Tables!$B$311))</f>
        <v>0</v>
      </c>
      <c r="V45" s="282">
        <f>+Y45</f>
        <v>0</v>
      </c>
      <c r="W45" s="282"/>
      <c r="X45" s="183">
        <f>+C45*12</f>
        <v>0</v>
      </c>
      <c r="Y45" s="183">
        <f>+SUM(Z45:AD45)</f>
        <v>0</v>
      </c>
      <c r="Z45" s="183">
        <f>+IF(X45&gt;=Tables!$A$308,((X45-Tables!$A$308)*Tables!$B$309)+Tables!$C$308,0)</f>
        <v>0</v>
      </c>
      <c r="AA45" s="183" t="b">
        <f>+IF(Z45=0,IF(X45&gt;=Tables!$A$307,(X45-Tables!$A$307)*Tables!$B$308+Tables!$C$307),0)</f>
        <v>0</v>
      </c>
      <c r="AB45" s="218" t="b">
        <f>+IF(SUM(Z45:AA45)=0,IF(X45&gt;=Tables!$A$306,(X45-Tables!$A$306)*Tables!$B$307+Tables!$C$306),0)</f>
        <v>0</v>
      </c>
      <c r="AC45" s="218" t="b">
        <f>+IF(SUM(Z45:AB45)=0,IF(X45&gt;=Tables!$A$305,(X45-Tables!$A$305)*Tables!$B$306+Tables!$C$305),0)</f>
        <v>0</v>
      </c>
      <c r="AD45" s="218">
        <f>+IF(SUM(Z45:AC45)=0,IF(X45&lt;=Tables!$A$305,0,0))</f>
        <v>0</v>
      </c>
      <c r="AE45" s="218"/>
      <c r="AF45" s="218"/>
      <c r="AG45" s="183"/>
      <c r="AH45" s="183"/>
      <c r="AI45" s="183"/>
      <c r="AJ45" s="183"/>
      <c r="AK45" s="218"/>
      <c r="AL45" s="218"/>
      <c r="AM45" s="218"/>
      <c r="AN45" s="218"/>
      <c r="AO45" s="218"/>
      <c r="AP45" s="218"/>
      <c r="AQ45" s="218"/>
      <c r="AR45" s="208"/>
    </row>
    <row r="46" spans="1:44" ht="18" customHeight="1" thickBot="1">
      <c r="B46" s="40" t="s">
        <v>101</v>
      </c>
      <c r="C46" s="871" t="str">
        <f>I10</f>
        <v>Rental Income</v>
      </c>
      <c r="D46" s="871"/>
      <c r="E46" s="15">
        <f>+L14*I14</f>
        <v>0</v>
      </c>
      <c r="F46" s="231"/>
      <c r="G46" s="231"/>
      <c r="H46" s="231"/>
      <c r="I46" s="241"/>
      <c r="J46" s="231"/>
      <c r="K46" s="231"/>
      <c r="L46" s="232"/>
      <c r="N46" s="183"/>
      <c r="O46" s="277"/>
      <c r="P46" s="276"/>
      <c r="Q46" s="276"/>
      <c r="R46" s="276"/>
      <c r="S46" s="276"/>
      <c r="T46" s="276"/>
      <c r="U46" s="276"/>
      <c r="V46" s="183"/>
      <c r="W46" s="183"/>
      <c r="X46" s="183"/>
      <c r="Y46" s="183"/>
      <c r="Z46" s="183"/>
      <c r="AA46" s="183"/>
      <c r="AB46" s="218"/>
      <c r="AC46" s="218"/>
      <c r="AD46" s="218"/>
      <c r="AE46" s="218"/>
      <c r="AF46" s="218"/>
      <c r="AG46" s="218"/>
      <c r="AH46" s="218"/>
      <c r="AI46" s="218"/>
      <c r="AJ46" s="218"/>
      <c r="AK46" s="218"/>
      <c r="AL46" s="218"/>
      <c r="AM46" s="218"/>
      <c r="AN46" s="218"/>
      <c r="AO46" s="218"/>
      <c r="AP46" s="218"/>
      <c r="AQ46" s="218"/>
      <c r="AR46" s="208"/>
    </row>
    <row r="47" spans="1:44" ht="18" customHeight="1">
      <c r="B47" s="40" t="s">
        <v>102</v>
      </c>
      <c r="C47" s="15">
        <f>+V7+V8+V9</f>
        <v>0</v>
      </c>
      <c r="D47" s="15">
        <v>0</v>
      </c>
      <c r="E47" s="236">
        <f>+V7+V8+V9</f>
        <v>0</v>
      </c>
      <c r="F47" s="876" t="s">
        <v>300</v>
      </c>
      <c r="G47" s="877"/>
      <c r="H47" s="877"/>
      <c r="I47" s="878"/>
      <c r="J47" s="873" t="s">
        <v>104</v>
      </c>
      <c r="K47" s="874"/>
      <c r="L47" s="875"/>
      <c r="M47" s="330" t="s">
        <v>105</v>
      </c>
      <c r="N47" s="283"/>
      <c r="O47" s="277"/>
      <c r="P47" s="276"/>
      <c r="Q47" s="276"/>
      <c r="R47" s="276"/>
      <c r="S47" s="276"/>
      <c r="T47" s="276"/>
      <c r="U47" s="276"/>
      <c r="V47" s="183"/>
      <c r="W47" s="183"/>
      <c r="X47" s="183"/>
      <c r="Y47" s="183"/>
      <c r="Z47" s="183"/>
      <c r="AA47" s="183"/>
      <c r="AB47" s="218"/>
      <c r="AC47" s="218"/>
      <c r="AD47" s="218"/>
      <c r="AE47" s="218"/>
      <c r="AF47" s="218"/>
      <c r="AG47" s="218"/>
      <c r="AH47" s="218"/>
      <c r="AI47" s="218"/>
      <c r="AJ47" s="218"/>
      <c r="AK47" s="218"/>
      <c r="AL47" s="218"/>
      <c r="AM47" s="218"/>
      <c r="AN47" s="218"/>
      <c r="AO47" s="218"/>
      <c r="AP47" s="218"/>
      <c r="AQ47" s="218"/>
      <c r="AR47" s="208"/>
    </row>
    <row r="48" spans="1:44" ht="18" customHeight="1" thickBot="1">
      <c r="B48" s="10" t="s">
        <v>106</v>
      </c>
      <c r="C48" s="17">
        <f>SUM(C44:C45)+E46+E47</f>
        <v>0</v>
      </c>
      <c r="D48" s="17" t="e">
        <f>SUM(D44:D45)</f>
        <v>#N/A</v>
      </c>
      <c r="E48" s="163" t="e">
        <f>SUM(E44:E47)</f>
        <v>#N/A</v>
      </c>
      <c r="F48" s="40" t="s">
        <v>13</v>
      </c>
      <c r="G48" s="15">
        <f>+C48</f>
        <v>0</v>
      </c>
      <c r="H48" s="561" t="s">
        <v>54</v>
      </c>
      <c r="I48" s="242" t="str">
        <f>+K24</f>
        <v xml:space="preserve"> </v>
      </c>
      <c r="J48" s="40" t="s">
        <v>107</v>
      </c>
      <c r="K48" s="234" t="e">
        <f>+(I40+L20)/E48</f>
        <v>#N/A</v>
      </c>
      <c r="L48" s="180" t="e">
        <f>+E48-I40-L20</f>
        <v>#N/A</v>
      </c>
      <c r="M48" s="329" t="e">
        <f>+W44/12</f>
        <v>#N/A</v>
      </c>
      <c r="N48" s="183"/>
      <c r="O48" s="277"/>
      <c r="P48" s="276"/>
      <c r="Q48" s="276"/>
      <c r="R48" s="276"/>
      <c r="S48" s="276"/>
      <c r="T48" s="183"/>
      <c r="U48" s="406"/>
      <c r="V48" s="183"/>
      <c r="W48" s="183"/>
      <c r="X48" s="183">
        <v>4</v>
      </c>
      <c r="Y48" s="183">
        <v>8</v>
      </c>
      <c r="Z48" s="183">
        <v>12</v>
      </c>
      <c r="AA48" s="116">
        <v>16</v>
      </c>
      <c r="AB48" s="183">
        <v>20</v>
      </c>
      <c r="AC48" s="183">
        <v>0</v>
      </c>
      <c r="AD48" s="218"/>
      <c r="AE48" s="218"/>
      <c r="AF48" s="218"/>
      <c r="AG48" s="218"/>
      <c r="AH48" s="218"/>
      <c r="AI48" s="218"/>
      <c r="AJ48" s="218"/>
      <c r="AK48" s="218"/>
      <c r="AL48" s="218"/>
      <c r="AM48" s="218"/>
      <c r="AN48" s="218"/>
      <c r="AO48" s="218"/>
      <c r="AP48" s="218"/>
      <c r="AQ48" s="218"/>
      <c r="AR48" s="208"/>
    </row>
    <row r="49" spans="2:45" ht="18" customHeight="1">
      <c r="B49" s="864" t="s">
        <v>108</v>
      </c>
      <c r="C49" s="865"/>
      <c r="D49" s="865"/>
      <c r="E49" s="866"/>
      <c r="F49" s="40" t="s">
        <v>109</v>
      </c>
      <c r="G49" s="15" t="e">
        <f>+L20+J40+D48-J24+M24</f>
        <v>#REF!</v>
      </c>
      <c r="H49" s="561" t="s">
        <v>110</v>
      </c>
      <c r="I49" s="242" t="e">
        <f>+(J40+D48+L20)/C48</f>
        <v>#N/A</v>
      </c>
      <c r="J49" s="40" t="s">
        <v>111</v>
      </c>
      <c r="K49" s="234" t="e">
        <f>(J40+L20)/E48</f>
        <v>#N/A</v>
      </c>
      <c r="L49" s="180" t="e">
        <f>+E48-J40-L20</f>
        <v>#N/A</v>
      </c>
      <c r="N49" s="284"/>
      <c r="O49" s="183"/>
      <c r="P49" s="183"/>
      <c r="Q49" s="819"/>
      <c r="R49" s="819"/>
      <c r="S49" s="819"/>
      <c r="T49" s="183"/>
      <c r="U49" s="183"/>
      <c r="V49" s="183"/>
      <c r="W49" s="183"/>
      <c r="X49" s="183" t="str">
        <f>+Tables!C29</f>
        <v>LA</v>
      </c>
      <c r="Y49" s="183" t="str">
        <f>+Tables!D29</f>
        <v>SLA</v>
      </c>
      <c r="Z49" s="183" t="str">
        <f>+Tables!E29</f>
        <v>CTL</v>
      </c>
      <c r="AA49" s="183" t="str">
        <f>+Tables!F29</f>
        <v>CTL</v>
      </c>
      <c r="AB49" s="183" t="str">
        <f>+Tables!G29</f>
        <v>COO</v>
      </c>
      <c r="AC49" s="183" t="str">
        <f>+Tables!H29</f>
        <v>CEO</v>
      </c>
      <c r="AD49" s="183" t="s">
        <v>148</v>
      </c>
      <c r="AE49" s="183"/>
      <c r="AF49" s="183"/>
      <c r="AG49" s="183"/>
      <c r="AH49" s="183"/>
      <c r="AI49" s="183"/>
      <c r="AJ49" s="183"/>
      <c r="AK49" s="183"/>
      <c r="AL49" s="183"/>
      <c r="AM49" s="183"/>
      <c r="AN49" s="183"/>
      <c r="AO49" s="183"/>
      <c r="AQ49" s="183"/>
      <c r="AR49" s="183"/>
      <c r="AS49" s="116"/>
    </row>
    <row r="50" spans="2:45" ht="18" customHeight="1">
      <c r="B50" s="40" t="s">
        <v>112</v>
      </c>
      <c r="C50" s="15">
        <f>SUM(T22:V22)</f>
        <v>0</v>
      </c>
      <c r="D50" s="235" t="s">
        <v>113</v>
      </c>
      <c r="E50" s="180">
        <f>SUMIF(A35:A39,"",E35:E39)</f>
        <v>0</v>
      </c>
      <c r="F50" s="40" t="s">
        <v>114</v>
      </c>
      <c r="G50" s="15" t="e">
        <f>+C48-G49-I24</f>
        <v>#REF!</v>
      </c>
      <c r="H50" s="561" t="s">
        <v>115</v>
      </c>
      <c r="I50" s="180" t="e">
        <f>+C48-G49</f>
        <v>#REF!</v>
      </c>
      <c r="J50" s="881" t="s">
        <v>116</v>
      </c>
      <c r="K50" s="882"/>
      <c r="L50" s="240" t="s">
        <v>117</v>
      </c>
      <c r="N50" s="285"/>
      <c r="O50" s="183"/>
      <c r="P50" s="183"/>
      <c r="Q50" s="819"/>
      <c r="R50" s="819"/>
      <c r="S50" s="819"/>
      <c r="T50" s="183" t="e">
        <f>+IF(X58=X48,X49,IF(Y58=Y48,Y49,IF(Z58=Z48,Z49,IF(AA58=AA48,AA49,IF(AC58=AB48,AC49,AD49)))))</f>
        <v>#N/A</v>
      </c>
      <c r="U50" s="286">
        <f>+D24</f>
        <v>0</v>
      </c>
      <c r="V50" s="287">
        <f>+C24</f>
        <v>0</v>
      </c>
      <c r="W50" s="287"/>
      <c r="X50" s="288" t="e">
        <f>+VLOOKUP($U$50,Delegations,3,FALSE)</f>
        <v>#N/A</v>
      </c>
      <c r="Y50" s="288" t="e">
        <f>+VLOOKUP($U$50,Delegations,4,FALSE)</f>
        <v>#N/A</v>
      </c>
      <c r="Z50" s="288" t="e">
        <f>+VLOOKUP($U$50,Delegations,5,FALSE)</f>
        <v>#N/A</v>
      </c>
      <c r="AA50" s="288" t="e">
        <f>+VLOOKUP($U$50,Delegations,6,FALSE)</f>
        <v>#N/A</v>
      </c>
      <c r="AB50" s="288" t="e">
        <f>+VLOOKUP($U$50,Delegations,7,FALSE)</f>
        <v>#N/A</v>
      </c>
      <c r="AC50" s="288" t="e">
        <f>+VLOOKUP($U$50,Delegations,8,FALSE)</f>
        <v>#N/A</v>
      </c>
      <c r="AD50" s="183"/>
      <c r="AE50" s="183"/>
      <c r="AF50" s="183"/>
      <c r="AG50" s="183"/>
      <c r="AH50" s="183"/>
      <c r="AI50" s="183"/>
      <c r="AJ50" s="183"/>
      <c r="AK50" s="183"/>
      <c r="AL50" s="183"/>
      <c r="AM50" s="183"/>
      <c r="AN50" s="183"/>
      <c r="AO50" s="183"/>
      <c r="AQ50" s="183"/>
      <c r="AR50" s="183"/>
      <c r="AS50" s="116"/>
    </row>
    <row r="51" spans="2:45" ht="18" customHeight="1" thickBot="1">
      <c r="B51" s="237" t="s">
        <v>118</v>
      </c>
      <c r="C51" s="560">
        <f>+C40-SUMIF(A35:A39,"",C35:C39)+E50</f>
        <v>0</v>
      </c>
      <c r="D51" s="238" t="s">
        <v>119</v>
      </c>
      <c r="E51" s="244" t="e">
        <f>+C51/C50</f>
        <v>#DIV/0!</v>
      </c>
      <c r="F51" s="486" t="s">
        <v>120</v>
      </c>
      <c r="G51" s="872">
        <f>+SUM(C25:C34)+SUM(E35:E39)</f>
        <v>0</v>
      </c>
      <c r="H51" s="872"/>
      <c r="I51" s="243"/>
      <c r="J51" s="879" t="e">
        <f>IF(L51="NO","DECLINED",+VLOOKUP(T50,Approval_Officers,2,FALSE))</f>
        <v>#N/A</v>
      </c>
      <c r="K51" s="880"/>
      <c r="L51" s="239" t="e">
        <f>+IF(I49&lt;1,"Yes","NO")</f>
        <v>#N/A</v>
      </c>
      <c r="N51" s="285"/>
      <c r="O51" s="183"/>
      <c r="P51" s="183"/>
      <c r="Q51" s="558"/>
      <c r="R51" s="558"/>
      <c r="S51" s="558"/>
      <c r="T51" s="183"/>
      <c r="U51" s="286"/>
      <c r="V51" s="287"/>
      <c r="W51" s="287"/>
      <c r="X51" s="289" t="e">
        <f>+X50-$V$50</f>
        <v>#N/A</v>
      </c>
      <c r="Y51" s="289" t="e">
        <f>+Y50-$V$50</f>
        <v>#N/A</v>
      </c>
      <c r="Z51" s="289" t="e">
        <f>+Z50-$V$50</f>
        <v>#N/A</v>
      </c>
      <c r="AA51" s="289" t="e">
        <f t="shared" ref="AA51:AC51" si="26">+AA50-$V$50</f>
        <v>#N/A</v>
      </c>
      <c r="AB51" s="289" t="e">
        <f t="shared" ref="AB51" si="27">+AB50-$V$50</f>
        <v>#N/A</v>
      </c>
      <c r="AC51" s="289" t="e">
        <f t="shared" si="26"/>
        <v>#N/A</v>
      </c>
      <c r="AD51" s="183"/>
      <c r="AE51" s="183"/>
      <c r="AF51" s="183"/>
      <c r="AG51" s="183"/>
      <c r="AH51" s="183"/>
      <c r="AI51" s="183"/>
      <c r="AJ51" s="183"/>
      <c r="AK51" s="183"/>
      <c r="AL51" s="183"/>
      <c r="AM51" s="183"/>
      <c r="AN51" s="183"/>
      <c r="AO51" s="183"/>
      <c r="AQ51" s="183"/>
      <c r="AR51" s="183"/>
      <c r="AS51" s="116"/>
    </row>
    <row r="52" spans="2:45" ht="5.25" customHeight="1" thickBot="1">
      <c r="B52" s="247"/>
      <c r="C52" s="185"/>
      <c r="D52" s="185"/>
      <c r="E52" s="185"/>
      <c r="F52" s="185"/>
      <c r="G52" s="185"/>
      <c r="H52" s="185"/>
      <c r="I52" s="185"/>
      <c r="J52" s="185"/>
      <c r="K52" s="248"/>
      <c r="L52" s="249"/>
      <c r="N52" s="284"/>
      <c r="O52" s="183"/>
      <c r="P52" s="183"/>
      <c r="Q52" s="183"/>
      <c r="R52" s="218"/>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Q52" s="183"/>
      <c r="AR52" s="183"/>
      <c r="AS52" s="116"/>
    </row>
    <row r="53" spans="2:45" ht="18" customHeight="1">
      <c r="B53" s="781" t="s">
        <v>121</v>
      </c>
      <c r="C53" s="799"/>
      <c r="D53" s="799"/>
      <c r="E53" s="799"/>
      <c r="F53" s="799"/>
      <c r="G53" s="800"/>
      <c r="H53" s="185"/>
      <c r="I53" s="781" t="s">
        <v>122</v>
      </c>
      <c r="J53" s="799"/>
      <c r="K53" s="799"/>
      <c r="L53" s="800"/>
      <c r="M53" s="210"/>
      <c r="N53" s="218"/>
      <c r="O53" s="218"/>
      <c r="P53" s="218"/>
      <c r="Q53" s="218"/>
      <c r="R53" s="218"/>
      <c r="S53" s="183"/>
      <c r="T53" s="183"/>
      <c r="U53" s="183"/>
      <c r="V53" s="183"/>
      <c r="W53" s="183" t="s">
        <v>301</v>
      </c>
      <c r="X53" s="273" t="e">
        <f>+IF(X51&gt;=0,1,0)</f>
        <v>#N/A</v>
      </c>
      <c r="Y53" s="273" t="e">
        <f>+IF(Y51&gt;=0,2,0)</f>
        <v>#N/A</v>
      </c>
      <c r="Z53" s="273" t="e">
        <f>+IF(Z51&gt;=0,3,0)</f>
        <v>#N/A</v>
      </c>
      <c r="AA53" s="273" t="e">
        <f>+IF(AA51&gt;=0,4,0)</f>
        <v>#N/A</v>
      </c>
      <c r="AB53" s="273" t="e">
        <f>+IF(AB51&gt;=0,5,0)</f>
        <v>#N/A</v>
      </c>
      <c r="AC53" s="273" t="e">
        <f>+IF(AC51&gt;=0,5,0)</f>
        <v>#N/A</v>
      </c>
      <c r="AD53" s="273"/>
      <c r="AE53" s="183"/>
      <c r="AF53" s="183"/>
      <c r="AG53" s="183"/>
      <c r="AH53" s="183"/>
      <c r="AI53" s="183"/>
      <c r="AJ53" s="183"/>
      <c r="AK53" s="183"/>
      <c r="AL53" s="183"/>
      <c r="AM53" s="183"/>
      <c r="AN53" s="183"/>
      <c r="AO53" s="183"/>
      <c r="AQ53" s="183"/>
      <c r="AR53" s="183"/>
      <c r="AS53" s="116"/>
    </row>
    <row r="54" spans="2:45" ht="18" customHeight="1">
      <c r="B54" s="801" t="s">
        <v>123</v>
      </c>
      <c r="C54" s="802"/>
      <c r="D54" s="4" t="s">
        <v>124</v>
      </c>
      <c r="E54" s="4" t="s">
        <v>54</v>
      </c>
      <c r="F54" s="4" t="s">
        <v>125</v>
      </c>
      <c r="G54" s="324" t="s">
        <v>126</v>
      </c>
      <c r="H54" s="185"/>
      <c r="I54" s="250" t="s">
        <v>127</v>
      </c>
      <c r="J54" s="803"/>
      <c r="K54" s="803"/>
      <c r="L54" s="804"/>
      <c r="M54" s="210"/>
      <c r="N54" s="218"/>
      <c r="O54" s="218"/>
      <c r="P54" s="218"/>
      <c r="Q54" s="218"/>
      <c r="R54" s="218"/>
      <c r="S54" s="183"/>
      <c r="T54" s="183"/>
      <c r="U54" s="183"/>
      <c r="V54" s="183"/>
      <c r="W54" s="183" t="s">
        <v>302</v>
      </c>
      <c r="X54" s="290" t="e">
        <f>+IF($K$49&lt;=X60,1,0)</f>
        <v>#N/A</v>
      </c>
      <c r="Y54" s="290" t="e">
        <f>+IF($K$49&lt;=Y60,2,0)</f>
        <v>#N/A</v>
      </c>
      <c r="Z54" s="290" t="e">
        <f>+IF($K$49&lt;=Z60,3,0)</f>
        <v>#N/A</v>
      </c>
      <c r="AA54" s="290" t="e">
        <f>+IF($K$49&lt;=AA60,4,0)</f>
        <v>#N/A</v>
      </c>
      <c r="AB54" s="290" t="e">
        <f>+IF($K$49&lt;=AB60,5,0)</f>
        <v>#N/A</v>
      </c>
      <c r="AC54" s="290" t="e">
        <f>+IF($K$49&lt;=AC60,5,0)</f>
        <v>#N/A</v>
      </c>
      <c r="AD54" s="290"/>
      <c r="AE54" s="183"/>
      <c r="AF54" s="183"/>
      <c r="AG54" s="183"/>
      <c r="AH54" s="183"/>
      <c r="AI54" s="183"/>
      <c r="AJ54" s="183"/>
      <c r="AK54" s="183"/>
      <c r="AL54" s="183"/>
      <c r="AM54" s="183"/>
      <c r="AN54" s="183"/>
      <c r="AO54" s="183"/>
      <c r="AQ54" s="183"/>
      <c r="AR54" s="183"/>
      <c r="AS54" s="116"/>
    </row>
    <row r="55" spans="2:45" ht="18" customHeight="1">
      <c r="B55" s="869"/>
      <c r="C55" s="870"/>
      <c r="D55" s="547"/>
      <c r="E55" s="548"/>
      <c r="F55" s="78"/>
      <c r="G55" s="549"/>
      <c r="H55" s="185"/>
      <c r="I55" s="251" t="s">
        <v>128</v>
      </c>
      <c r="J55" s="807"/>
      <c r="K55" s="807"/>
      <c r="L55" s="808"/>
      <c r="M55" s="210"/>
      <c r="N55" s="218"/>
      <c r="O55" s="218"/>
      <c r="P55" s="218"/>
      <c r="Q55" s="218"/>
      <c r="R55" s="218"/>
      <c r="S55" s="183"/>
      <c r="T55" s="183"/>
      <c r="U55" s="183"/>
      <c r="V55" s="183"/>
      <c r="W55" s="183" t="s">
        <v>303</v>
      </c>
      <c r="X55" s="290" t="e">
        <f>+IF($F$40&lt;=X61,1,0)</f>
        <v>#N/A</v>
      </c>
      <c r="Y55" s="290" t="e">
        <f>+IF($F$40&lt;=Y61,2,0)</f>
        <v>#N/A</v>
      </c>
      <c r="Z55" s="290" t="e">
        <f>+IF($F$40&lt;=Z61,3,0)</f>
        <v>#N/A</v>
      </c>
      <c r="AA55" s="290" t="e">
        <f>+IF($F$40&lt;=AA61,4,0)</f>
        <v>#N/A</v>
      </c>
      <c r="AB55" s="290" t="e">
        <f>+IF($F$40&lt;=AB61,5,0)</f>
        <v>#N/A</v>
      </c>
      <c r="AC55" s="290" t="e">
        <f>+IF($F$40&lt;=AC61,5,0)</f>
        <v>#N/A</v>
      </c>
      <c r="AD55" s="290"/>
      <c r="AE55" s="183"/>
      <c r="AF55" s="183"/>
      <c r="AG55" s="183"/>
      <c r="AH55" s="183"/>
      <c r="AI55" s="183"/>
      <c r="AJ55" s="183"/>
      <c r="AK55" s="183"/>
      <c r="AL55" s="183"/>
      <c r="AM55" s="183"/>
      <c r="AN55" s="183"/>
      <c r="AO55" s="183"/>
      <c r="AQ55" s="183"/>
      <c r="AR55" s="183"/>
      <c r="AS55" s="116"/>
    </row>
    <row r="56" spans="2:45" ht="18" customHeight="1">
      <c r="B56" s="869"/>
      <c r="C56" s="887"/>
      <c r="D56" s="547"/>
      <c r="E56" s="548"/>
      <c r="F56" s="78"/>
      <c r="G56" s="549"/>
      <c r="H56" s="185"/>
      <c r="I56" s="555" t="s">
        <v>129</v>
      </c>
      <c r="J56" s="556"/>
      <c r="K56" s="556"/>
      <c r="L56" s="557"/>
      <c r="M56" s="210"/>
      <c r="N56" s="218"/>
      <c r="O56" s="218"/>
      <c r="P56" s="218"/>
      <c r="Q56" s="218"/>
      <c r="R56" s="218"/>
      <c r="S56" s="183"/>
      <c r="T56" s="183"/>
      <c r="U56" s="183"/>
      <c r="V56" s="183"/>
      <c r="W56" s="183"/>
      <c r="X56" s="290"/>
      <c r="Y56" s="290"/>
      <c r="Z56" s="290"/>
      <c r="AA56" s="290"/>
      <c r="AB56" s="290"/>
      <c r="AC56" s="290"/>
      <c r="AD56" s="290"/>
      <c r="AE56" s="183"/>
      <c r="AF56" s="183"/>
      <c r="AG56" s="183"/>
      <c r="AH56" s="183"/>
      <c r="AI56" s="183"/>
      <c r="AJ56" s="183"/>
      <c r="AK56" s="183"/>
      <c r="AL56" s="183"/>
      <c r="AM56" s="183"/>
      <c r="AN56" s="183"/>
      <c r="AO56" s="183"/>
      <c r="AQ56" s="183"/>
      <c r="AR56" s="183"/>
      <c r="AS56" s="116"/>
    </row>
    <row r="57" spans="2:45" ht="18" customHeight="1">
      <c r="B57" s="869"/>
      <c r="C57" s="870"/>
      <c r="D57" s="547"/>
      <c r="E57" s="548"/>
      <c r="F57" s="78"/>
      <c r="G57" s="549"/>
      <c r="H57" s="185"/>
      <c r="I57" s="812" t="e">
        <f>+J51</f>
        <v>#N/A</v>
      </c>
      <c r="J57" s="813"/>
      <c r="K57" s="813"/>
      <c r="L57" s="814"/>
      <c r="N57" s="183"/>
      <c r="O57" s="183"/>
      <c r="P57" s="183"/>
      <c r="Q57" s="183"/>
      <c r="R57" s="183"/>
      <c r="S57" s="183"/>
      <c r="T57" s="183"/>
      <c r="U57" s="183"/>
      <c r="V57" s="183"/>
      <c r="W57" s="183" t="s">
        <v>304</v>
      </c>
      <c r="X57" s="290" t="e">
        <f>+IF($E$51&lt;=X62,1,0)</f>
        <v>#DIV/0!</v>
      </c>
      <c r="Y57" s="290" t="e">
        <f>+IF($E$51&lt;=Y62,2,0)</f>
        <v>#DIV/0!</v>
      </c>
      <c r="Z57" s="290" t="e">
        <f>+IF($E$51&lt;=Z62,3,0)</f>
        <v>#DIV/0!</v>
      </c>
      <c r="AA57" s="290" t="e">
        <f>+IF($E$51&lt;=AA62,4,0)</f>
        <v>#DIV/0!</v>
      </c>
      <c r="AB57" s="290" t="e">
        <f>+IF($E$51&lt;=AB62,5,0)</f>
        <v>#DIV/0!</v>
      </c>
      <c r="AC57" s="290" t="e">
        <f>+IF($E$51&lt;=AC62,5,0)</f>
        <v>#DIV/0!</v>
      </c>
      <c r="AE57" s="183"/>
      <c r="AF57" s="183"/>
      <c r="AG57" s="183"/>
      <c r="AH57" s="183"/>
      <c r="AI57" s="183"/>
      <c r="AJ57" s="183"/>
      <c r="AK57" s="183"/>
      <c r="AL57" s="183"/>
      <c r="AM57" s="183"/>
      <c r="AN57" s="183"/>
      <c r="AO57" s="183"/>
      <c r="AQ57" s="183"/>
      <c r="AR57" s="183"/>
      <c r="AS57" s="116"/>
    </row>
    <row r="58" spans="2:45" ht="18" customHeight="1" thickBot="1">
      <c r="B58" s="237" t="s">
        <v>130</v>
      </c>
      <c r="C58" s="501"/>
      <c r="D58" s="501"/>
      <c r="E58" s="325" t="s">
        <v>131</v>
      </c>
      <c r="F58" s="162"/>
      <c r="G58" s="243"/>
      <c r="H58" s="185"/>
      <c r="I58" s="190" t="s">
        <v>127</v>
      </c>
      <c r="J58" s="817"/>
      <c r="K58" s="817"/>
      <c r="L58" s="818"/>
      <c r="N58" s="183"/>
      <c r="O58" s="183"/>
      <c r="P58" s="183"/>
      <c r="Q58" s="183"/>
      <c r="R58" s="183"/>
      <c r="S58" s="183"/>
      <c r="T58" s="183"/>
      <c r="U58" s="183"/>
      <c r="V58" s="183"/>
      <c r="W58" s="183"/>
      <c r="X58" s="273" t="e">
        <f>SUM(X53:X57)</f>
        <v>#N/A</v>
      </c>
      <c r="Y58" s="273" t="e">
        <f t="shared" ref="Y58:AC58" si="28">SUM(Y53:Y57)</f>
        <v>#N/A</v>
      </c>
      <c r="Z58" s="273" t="e">
        <f t="shared" si="28"/>
        <v>#N/A</v>
      </c>
      <c r="AA58" s="273" t="e">
        <f t="shared" si="28"/>
        <v>#N/A</v>
      </c>
      <c r="AB58" s="273" t="e">
        <f t="shared" ref="AB58" si="29">SUM(AB53:AB57)</f>
        <v>#N/A</v>
      </c>
      <c r="AC58" s="273" t="e">
        <f t="shared" si="28"/>
        <v>#N/A</v>
      </c>
      <c r="AD58" s="273"/>
      <c r="AE58" s="183"/>
      <c r="AF58" s="183"/>
      <c r="AG58" s="183"/>
      <c r="AH58" s="183"/>
      <c r="AI58" s="183"/>
      <c r="AJ58" s="183"/>
      <c r="AK58" s="183"/>
      <c r="AL58" s="183"/>
      <c r="AM58" s="183"/>
      <c r="AN58" s="183"/>
      <c r="AO58" s="183"/>
      <c r="AQ58" s="183"/>
      <c r="AR58" s="183"/>
      <c r="AS58" s="116"/>
    </row>
    <row r="59" spans="2:45" ht="18" customHeight="1" thickBot="1">
      <c r="B59" s="809" t="s">
        <v>132</v>
      </c>
      <c r="C59" s="815"/>
      <c r="D59" s="815"/>
      <c r="E59" s="815"/>
      <c r="F59" s="815"/>
      <c r="G59" s="816"/>
      <c r="H59" s="185"/>
      <c r="I59" s="252" t="s">
        <v>128</v>
      </c>
      <c r="J59" s="797"/>
      <c r="K59" s="797"/>
      <c r="L59" s="798"/>
      <c r="N59" s="183"/>
      <c r="O59" s="183"/>
      <c r="P59" s="183"/>
      <c r="Q59" s="183"/>
      <c r="R59" s="183"/>
      <c r="S59" s="183"/>
      <c r="T59" s="183"/>
      <c r="U59" s="183"/>
      <c r="V59" s="183"/>
      <c r="W59" s="183"/>
      <c r="X59" s="183" t="e">
        <f>+IF(X58&lt;X48,0,X58)</f>
        <v>#N/A</v>
      </c>
      <c r="Y59" s="183" t="e">
        <f t="shared" ref="Y59:AA59" si="30">+IF(Y58&lt;Y48,0,Y58)</f>
        <v>#N/A</v>
      </c>
      <c r="Z59" s="183" t="e">
        <f t="shared" si="30"/>
        <v>#N/A</v>
      </c>
      <c r="AA59" s="183" t="e">
        <f t="shared" si="30"/>
        <v>#N/A</v>
      </c>
      <c r="AB59" s="183" t="e">
        <f>+IF(AB58&lt;AA48,0,AB58)</f>
        <v>#N/A</v>
      </c>
      <c r="AC59" s="183" t="e">
        <f>+IF(AC58&lt;AB48,0,AC58)</f>
        <v>#N/A</v>
      </c>
      <c r="AD59" s="183"/>
      <c r="AE59" s="183"/>
      <c r="AF59" s="183"/>
      <c r="AG59" s="183"/>
      <c r="AH59" s="183"/>
      <c r="AI59" s="183"/>
      <c r="AJ59" s="183"/>
      <c r="AK59" s="183"/>
      <c r="AL59" s="183"/>
      <c r="AM59" s="183"/>
      <c r="AN59" s="183"/>
      <c r="AO59" s="183"/>
      <c r="AQ59" s="183"/>
      <c r="AR59" s="183"/>
      <c r="AS59" s="116"/>
    </row>
    <row r="60" spans="2:45" ht="18" customHeight="1">
      <c r="B60" s="795" t="s">
        <v>133</v>
      </c>
      <c r="C60" s="772"/>
      <c r="D60" s="787"/>
      <c r="E60" s="787"/>
      <c r="F60" s="787"/>
      <c r="G60" s="788"/>
      <c r="H60" s="185"/>
      <c r="I60" s="492" t="s">
        <v>135</v>
      </c>
      <c r="J60" s="553"/>
      <c r="K60" s="553"/>
      <c r="L60" s="554"/>
      <c r="N60" s="183"/>
      <c r="O60" s="183"/>
      <c r="P60" s="183"/>
      <c r="Q60" s="183"/>
      <c r="R60" s="183"/>
      <c r="S60" s="183"/>
      <c r="T60" s="183"/>
      <c r="U60" s="183"/>
      <c r="V60" s="183"/>
      <c r="W60" s="183"/>
      <c r="X60" s="291" t="e">
        <f>+Tables!C143</f>
        <v>#N/A</v>
      </c>
      <c r="Y60" s="291" t="e">
        <f>+Tables!D143</f>
        <v>#N/A</v>
      </c>
      <c r="Z60" s="291" t="e">
        <f>+Tables!E143</f>
        <v>#N/A</v>
      </c>
      <c r="AA60" s="291" t="e">
        <f>IF(V50&gt;1000000,AA65,IF(V50&gt;3000000,AA66,AA64))</f>
        <v>#N/A</v>
      </c>
      <c r="AB60" s="291" t="e">
        <f>IF(V50&gt;1000000,AB65,IF(V50&gt;3000000,AB66,AB64))</f>
        <v>#N/A</v>
      </c>
      <c r="AC60" s="291" t="e">
        <f>IF(W50&gt;1000000,AC65,IF(W50&gt;3000000,AC66,AC64))</f>
        <v>#N/A</v>
      </c>
      <c r="AD60" s="183"/>
      <c r="AE60" s="183"/>
      <c r="AF60" s="183"/>
      <c r="AG60" s="183"/>
      <c r="AH60" s="183"/>
      <c r="AI60" s="183"/>
      <c r="AJ60" s="183"/>
      <c r="AK60" s="183"/>
      <c r="AL60" s="183"/>
      <c r="AM60" s="183"/>
      <c r="AN60" s="183"/>
      <c r="AO60" s="183"/>
      <c r="AQ60" s="183"/>
      <c r="AR60" s="183"/>
      <c r="AS60" s="116"/>
    </row>
    <row r="61" spans="2:45" ht="18.600000000000001" customHeight="1">
      <c r="B61" s="796"/>
      <c r="C61" s="789"/>
      <c r="D61" s="790"/>
      <c r="E61" s="790"/>
      <c r="F61" s="790"/>
      <c r="G61" s="791"/>
      <c r="H61" s="185"/>
      <c r="I61" s="149" t="s">
        <v>136</v>
      </c>
      <c r="J61" s="784"/>
      <c r="K61" s="785"/>
      <c r="L61" s="786"/>
      <c r="N61" s="183"/>
      <c r="O61" s="183"/>
      <c r="P61" s="183"/>
      <c r="Q61" s="183"/>
      <c r="R61" s="183"/>
      <c r="S61" s="183"/>
      <c r="T61" s="183"/>
      <c r="U61" s="183"/>
      <c r="V61" s="183"/>
      <c r="W61" s="183"/>
      <c r="X61" s="183">
        <f>Tables!C139</f>
        <v>750000</v>
      </c>
      <c r="Y61" s="183">
        <f>Tables!D139</f>
        <v>1000000</v>
      </c>
      <c r="Z61" s="183">
        <f>Tables!E139</f>
        <v>1500000</v>
      </c>
      <c r="AA61" s="183">
        <f>Tables!F139</f>
        <v>2000000</v>
      </c>
      <c r="AB61" s="183">
        <f>Tables!G139</f>
        <v>2500000</v>
      </c>
      <c r="AC61" s="183">
        <f>Tables!H139</f>
        <v>3000000</v>
      </c>
      <c r="AD61" s="183"/>
      <c r="AE61" s="183"/>
      <c r="AF61" s="183"/>
      <c r="AG61" s="183"/>
      <c r="AH61" s="183"/>
      <c r="AI61" s="183"/>
      <c r="AJ61" s="183"/>
      <c r="AK61" s="183"/>
      <c r="AL61" s="183"/>
      <c r="AM61" s="183"/>
      <c r="AN61" s="183"/>
      <c r="AO61" s="183"/>
      <c r="AQ61" s="183"/>
      <c r="AR61" s="183"/>
      <c r="AS61" s="116"/>
    </row>
    <row r="62" spans="2:45" ht="18" customHeight="1">
      <c r="B62" s="769" t="s">
        <v>134</v>
      </c>
      <c r="C62" s="772"/>
      <c r="D62" s="773"/>
      <c r="E62" s="773"/>
      <c r="F62" s="773"/>
      <c r="G62" s="774"/>
      <c r="H62" s="185"/>
      <c r="I62" s="495" t="s">
        <v>137</v>
      </c>
      <c r="J62" s="772"/>
      <c r="K62" s="787"/>
      <c r="L62" s="788"/>
      <c r="N62" s="183"/>
      <c r="O62" s="183"/>
      <c r="P62" s="183"/>
      <c r="Q62" s="183"/>
      <c r="R62" s="183"/>
      <c r="S62" s="183"/>
      <c r="T62" s="183"/>
      <c r="U62" s="183"/>
      <c r="V62" s="183"/>
      <c r="W62" s="183"/>
      <c r="X62" s="414" t="e">
        <f>+Tables!C148</f>
        <v>#N/A</v>
      </c>
      <c r="Y62" s="414" t="e">
        <f>+Tables!D148</f>
        <v>#N/A</v>
      </c>
      <c r="Z62" s="414" t="e">
        <f>+Tables!E148</f>
        <v>#N/A</v>
      </c>
      <c r="AA62" s="414" t="e">
        <f>+Tables!F148</f>
        <v>#N/A</v>
      </c>
      <c r="AB62" s="414" t="e">
        <f>+Tables!F148</f>
        <v>#N/A</v>
      </c>
      <c r="AC62" s="414" t="e">
        <f>+Tables!G148</f>
        <v>#N/A</v>
      </c>
      <c r="AD62" s="183"/>
      <c r="AE62" s="183"/>
      <c r="AF62" s="183"/>
      <c r="AG62" s="183"/>
      <c r="AH62" s="183"/>
      <c r="AI62" s="183"/>
      <c r="AJ62" s="183"/>
      <c r="AK62" s="183"/>
      <c r="AL62" s="183"/>
      <c r="AM62" s="183"/>
      <c r="AN62" s="183"/>
      <c r="AO62" s="183"/>
      <c r="AQ62" s="183"/>
      <c r="AR62" s="183"/>
      <c r="AS62" s="116"/>
    </row>
    <row r="63" spans="2:45" ht="18" customHeight="1">
      <c r="B63" s="770"/>
      <c r="C63" s="775"/>
      <c r="D63" s="776"/>
      <c r="E63" s="776"/>
      <c r="F63" s="776"/>
      <c r="G63" s="777"/>
      <c r="H63" s="185"/>
      <c r="I63" s="495"/>
      <c r="J63" s="884"/>
      <c r="K63" s="885"/>
      <c r="L63" s="886"/>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Q63" s="183"/>
      <c r="AR63" s="183"/>
      <c r="AS63" s="116"/>
    </row>
    <row r="64" spans="2:45" ht="18" customHeight="1">
      <c r="B64" s="770"/>
      <c r="C64" s="775"/>
      <c r="D64" s="776"/>
      <c r="E64" s="776"/>
      <c r="F64" s="776"/>
      <c r="G64" s="777"/>
      <c r="H64" s="185"/>
      <c r="I64" s="190"/>
      <c r="J64" s="884"/>
      <c r="K64" s="885"/>
      <c r="L64" s="886"/>
      <c r="N64" s="183"/>
      <c r="O64" s="183"/>
      <c r="P64" s="183"/>
      <c r="Q64" s="183"/>
      <c r="R64" s="183"/>
      <c r="S64" s="183"/>
      <c r="T64" s="183"/>
      <c r="U64" s="183"/>
      <c r="V64" s="183"/>
      <c r="W64" s="25" t="s">
        <v>194</v>
      </c>
      <c r="X64" s="423" t="e">
        <f>+Tables!C143</f>
        <v>#N/A</v>
      </c>
      <c r="Y64" s="423" t="e">
        <f>+Tables!D143</f>
        <v>#N/A</v>
      </c>
      <c r="Z64" s="423" t="e">
        <f>+Tables!E143</f>
        <v>#N/A</v>
      </c>
      <c r="AA64" s="423" t="e">
        <f>+Tables!F143</f>
        <v>#N/A</v>
      </c>
      <c r="AB64" s="423" t="e">
        <f>+Tables!F143</f>
        <v>#N/A</v>
      </c>
      <c r="AC64" s="423" t="e">
        <f>+Tables!G143</f>
        <v>#N/A</v>
      </c>
      <c r="AD64" s="183"/>
      <c r="AE64" s="183"/>
      <c r="AF64" s="183"/>
      <c r="AG64" s="183"/>
      <c r="AH64" s="183"/>
      <c r="AI64" s="183"/>
      <c r="AJ64" s="183"/>
      <c r="AK64" s="183"/>
      <c r="AL64" s="183"/>
      <c r="AM64" s="183"/>
      <c r="AN64" s="183"/>
      <c r="AO64" s="183"/>
      <c r="AQ64" s="183"/>
      <c r="AR64" s="183"/>
      <c r="AS64" s="116"/>
    </row>
    <row r="65" spans="2:45" ht="18" customHeight="1">
      <c r="B65" s="770"/>
      <c r="C65" s="775"/>
      <c r="D65" s="776"/>
      <c r="E65" s="776"/>
      <c r="F65" s="776"/>
      <c r="G65" s="777"/>
      <c r="H65" s="185"/>
      <c r="I65" s="190"/>
      <c r="J65" s="789"/>
      <c r="K65" s="790"/>
      <c r="L65" s="791"/>
      <c r="N65" s="183"/>
      <c r="O65" s="183"/>
      <c r="P65" s="183"/>
      <c r="Q65" s="183"/>
      <c r="R65" s="183"/>
      <c r="S65" s="183"/>
      <c r="T65" s="183"/>
      <c r="U65" s="183"/>
      <c r="V65" s="183"/>
      <c r="W65" s="25" t="s">
        <v>1456</v>
      </c>
      <c r="X65" s="423">
        <f>+Tables!C144</f>
        <v>0</v>
      </c>
      <c r="Y65" s="423">
        <f>+Tables!D144</f>
        <v>0</v>
      </c>
      <c r="Z65" s="423">
        <f>+Tables!E144</f>
        <v>0</v>
      </c>
      <c r="AA65" s="423">
        <f>+Tables!F144</f>
        <v>0.98</v>
      </c>
      <c r="AB65" s="423">
        <f>+Tables!F144</f>
        <v>0.98</v>
      </c>
      <c r="AC65" s="423">
        <f>+Tables!G144</f>
        <v>0.98</v>
      </c>
      <c r="AD65" s="183"/>
      <c r="AE65" s="183"/>
      <c r="AF65" s="183"/>
      <c r="AG65" s="183"/>
      <c r="AH65" s="183"/>
      <c r="AI65" s="183"/>
      <c r="AJ65" s="183"/>
      <c r="AK65" s="183"/>
      <c r="AL65" s="183"/>
      <c r="AM65" s="183"/>
      <c r="AN65" s="183"/>
      <c r="AO65" s="183"/>
      <c r="AQ65" s="183"/>
      <c r="AR65" s="183"/>
      <c r="AS65" s="116"/>
    </row>
    <row r="66" spans="2:45" ht="18" customHeight="1">
      <c r="B66" s="770"/>
      <c r="C66" s="775"/>
      <c r="D66" s="776"/>
      <c r="E66" s="776"/>
      <c r="F66" s="776"/>
      <c r="G66" s="777"/>
      <c r="H66" s="185"/>
      <c r="I66" s="495" t="s">
        <v>138</v>
      </c>
      <c r="J66" s="493"/>
      <c r="K66" s="151" t="s">
        <v>128</v>
      </c>
      <c r="L66" s="494"/>
      <c r="N66" s="183"/>
      <c r="O66" s="183"/>
      <c r="P66" s="183"/>
      <c r="Q66" s="183"/>
      <c r="R66" s="183"/>
      <c r="S66" s="183"/>
      <c r="T66" s="183"/>
      <c r="U66" s="183"/>
      <c r="V66" s="183"/>
      <c r="W66" s="25" t="s">
        <v>305</v>
      </c>
      <c r="X66" s="423">
        <f>+Tables!C145</f>
        <v>0</v>
      </c>
      <c r="Y66" s="423">
        <f>+Tables!D145</f>
        <v>0</v>
      </c>
      <c r="Z66" s="423">
        <f>+Tables!E145</f>
        <v>0</v>
      </c>
      <c r="AA66" s="423">
        <v>0.95</v>
      </c>
      <c r="AB66" s="423">
        <f>+Tables!F145</f>
        <v>0</v>
      </c>
      <c r="AC66" s="423">
        <f>+Tables!G145</f>
        <v>0.95</v>
      </c>
      <c r="AD66" s="183"/>
      <c r="AE66" s="183"/>
      <c r="AF66" s="183"/>
      <c r="AG66" s="183"/>
      <c r="AH66" s="183"/>
      <c r="AI66" s="183"/>
      <c r="AJ66" s="183"/>
      <c r="AK66" s="183"/>
      <c r="AL66" s="183"/>
      <c r="AM66" s="183"/>
      <c r="AN66" s="183"/>
      <c r="AO66" s="183"/>
      <c r="AQ66" s="183"/>
      <c r="AR66" s="183"/>
      <c r="AS66" s="116"/>
    </row>
    <row r="67" spans="2:45" ht="18" customHeight="1" thickBot="1">
      <c r="B67" s="771"/>
      <c r="C67" s="778"/>
      <c r="D67" s="779"/>
      <c r="E67" s="779"/>
      <c r="F67" s="779"/>
      <c r="G67" s="780"/>
      <c r="H67" s="245"/>
      <c r="I67" s="150" t="s">
        <v>139</v>
      </c>
      <c r="J67" s="888"/>
      <c r="K67" s="889"/>
      <c r="L67" s="890"/>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Q67" s="183"/>
    </row>
  </sheetData>
  <sheetProtection selectLockedCells="1"/>
  <dataConsolidate/>
  <mergeCells count="57">
    <mergeCell ref="D20:E20"/>
    <mergeCell ref="J58:L58"/>
    <mergeCell ref="J59:L59"/>
    <mergeCell ref="J62:L65"/>
    <mergeCell ref="B56:C56"/>
    <mergeCell ref="B55:C55"/>
    <mergeCell ref="B53:G53"/>
    <mergeCell ref="B60:B61"/>
    <mergeCell ref="C60:G61"/>
    <mergeCell ref="B62:B67"/>
    <mergeCell ref="C62:G67"/>
    <mergeCell ref="B59:G59"/>
    <mergeCell ref="J67:L67"/>
    <mergeCell ref="J61:L61"/>
    <mergeCell ref="I53:L53"/>
    <mergeCell ref="D40:E40"/>
    <mergeCell ref="D15:E15"/>
    <mergeCell ref="D11:E11"/>
    <mergeCell ref="B4:D4"/>
    <mergeCell ref="H4:J4"/>
    <mergeCell ref="D12:E12"/>
    <mergeCell ref="D10:E10"/>
    <mergeCell ref="D9:E9"/>
    <mergeCell ref="D8:E8"/>
    <mergeCell ref="D14:E14"/>
    <mergeCell ref="D13:E13"/>
    <mergeCell ref="I9:J9"/>
    <mergeCell ref="B6:G6"/>
    <mergeCell ref="I6:L6"/>
    <mergeCell ref="B57:C57"/>
    <mergeCell ref="J55:L55"/>
    <mergeCell ref="I57:L57"/>
    <mergeCell ref="J54:L54"/>
    <mergeCell ref="B42:L42"/>
    <mergeCell ref="C46:D46"/>
    <mergeCell ref="G51:H51"/>
    <mergeCell ref="J47:L47"/>
    <mergeCell ref="F47:I47"/>
    <mergeCell ref="J51:K51"/>
    <mergeCell ref="J50:K50"/>
    <mergeCell ref="B54:C54"/>
    <mergeCell ref="Q50:S50"/>
    <mergeCell ref="I7:J7"/>
    <mergeCell ref="J20:K20"/>
    <mergeCell ref="I15:L15"/>
    <mergeCell ref="Q49:S49"/>
    <mergeCell ref="I8:J8"/>
    <mergeCell ref="B22:L22"/>
    <mergeCell ref="J14:K14"/>
    <mergeCell ref="I10:L10"/>
    <mergeCell ref="D7:E7"/>
    <mergeCell ref="D19:E19"/>
    <mergeCell ref="B49:E49"/>
    <mergeCell ref="D18:E18"/>
    <mergeCell ref="G40:H40"/>
    <mergeCell ref="D17:E17"/>
    <mergeCell ref="D16:E16"/>
  </mergeCells>
  <phoneticPr fontId="0" type="noConversion"/>
  <conditionalFormatting sqref="D36">
    <cfRule type="cellIs" dxfId="23" priority="2" operator="notEqual">
      <formula>0.038</formula>
    </cfRule>
  </conditionalFormatting>
  <conditionalFormatting sqref="E51 J51">
    <cfRule type="cellIs" dxfId="22" priority="25" operator="equal">
      <formula>"Board of Directors"</formula>
    </cfRule>
  </conditionalFormatting>
  <conditionalFormatting sqref="E51">
    <cfRule type="colorScale" priority="20">
      <colorScale>
        <cfvo type="num" val="3"/>
        <cfvo type="num" val="6"/>
        <cfvo type="num" val="7"/>
        <color rgb="FF92D050"/>
        <color rgb="FFFFEB84"/>
        <color rgb="FFFF0000"/>
      </colorScale>
    </cfRule>
  </conditionalFormatting>
  <conditionalFormatting sqref="F20">
    <cfRule type="cellIs" dxfId="21" priority="3" operator="notEqual">
      <formula>0</formula>
    </cfRule>
  </conditionalFormatting>
  <conditionalFormatting sqref="H25:H28">
    <cfRule type="cellIs" dxfId="20" priority="23" operator="equal">
      <formula>0.5</formula>
    </cfRule>
  </conditionalFormatting>
  <conditionalFormatting sqref="H35:H39">
    <cfRule type="cellIs" dxfId="19" priority="14" operator="equal">
      <formula>"Exc"</formula>
    </cfRule>
  </conditionalFormatting>
  <conditionalFormatting sqref="I14">
    <cfRule type="cellIs" dxfId="18" priority="1" operator="notEqual">
      <formula>0.8</formula>
    </cfRule>
  </conditionalFormatting>
  <conditionalFormatting sqref="I51">
    <cfRule type="cellIs" dxfId="17" priority="19" operator="notEqual">
      <formula>"Yes"</formula>
    </cfRule>
  </conditionalFormatting>
  <conditionalFormatting sqref="J18:J19">
    <cfRule type="containsBlanks" dxfId="16" priority="4">
      <formula>LEN(TRIM(J18))=0</formula>
    </cfRule>
  </conditionalFormatting>
  <conditionalFormatting sqref="K16">
    <cfRule type="cellIs" dxfId="15" priority="8" operator="equal">
      <formula>"Disc applied"</formula>
    </cfRule>
  </conditionalFormatting>
  <conditionalFormatting sqref="L20">
    <cfRule type="cellIs" dxfId="14" priority="11" operator="equal">
      <formula>$L$17</formula>
    </cfRule>
  </conditionalFormatting>
  <conditionalFormatting sqref="L51">
    <cfRule type="cellIs" dxfId="13" priority="26" stopIfTrue="1" operator="equal">
      <formula>"No"</formula>
    </cfRule>
  </conditionalFormatting>
  <dataValidations count="23">
    <dataValidation type="list" allowBlank="1" showInputMessage="1" showErrorMessage="1" sqref="G8:G19 K7:K9 K12:K13 D29:D34" xr:uid="{F117D1ED-F94A-4523-885E-D278D274FEAE}">
      <formula1>Period</formula1>
    </dataValidation>
    <dataValidation type="list" allowBlank="1" showInputMessage="1" showErrorMessage="1" sqref="I51 G44:G45 G55:G58" xr:uid="{B457F112-44D3-4C3C-A507-5F04C5AD3F88}">
      <formula1>Confirmed</formula1>
    </dataValidation>
    <dataValidation type="whole" allowBlank="1" showInputMessage="1" showErrorMessage="1" error="Invalid number" sqref="J16" xr:uid="{9A12BC9A-61CC-40C6-805C-649D443C6BF0}">
      <formula1>1</formula1>
      <formula2>2</formula2>
    </dataValidation>
    <dataValidation type="whole" allowBlank="1" showInputMessage="1" showErrorMessage="1" error="Invalid number" sqref="J17" xr:uid="{53D82B09-613D-4530-8184-81A3D688DDB5}">
      <formula1>0</formula1>
      <formula2>6</formula2>
    </dataValidation>
    <dataValidation allowBlank="1" showInputMessage="1" showErrorMessage="1" error="Enter value_x000a_" sqref="J12:J13 L7:L9" xr:uid="{2B5CFC5F-D5D2-4D21-AFCF-04562001F76F}"/>
    <dataValidation type="list" allowBlank="1" showInputMessage="1" showErrorMessage="1" sqref="H32" xr:uid="{4A2DAB76-3AE7-4161-A663-943455468244}">
      <formula1>"50%"</formula1>
    </dataValidation>
    <dataValidation type="list" allowBlank="1" showInputMessage="1" showErrorMessage="1" sqref="H29:H31 H33:H34" xr:uid="{0372CD3D-3AE1-4BF2-B4FE-060D4F9DDC7A}">
      <formula1>"Y"</formula1>
    </dataValidation>
    <dataValidation allowBlank="1" showInputMessage="1" showErrorMessage="1" error="Enter value" sqref="F58 E25:E39" xr:uid="{9287B7B7-118F-4F5F-B4D8-CBCE500E384B}"/>
    <dataValidation type="whole" allowBlank="1" showInputMessage="1" showErrorMessage="1" error="Enter value" sqref="F55:F57" xr:uid="{BB2C40B2-CACA-4FC3-B302-59BDB846ADB9}">
      <formula1>0</formula1>
      <formula2>10000000000000000</formula2>
    </dataValidation>
    <dataValidation type="decimal" allowBlank="1" showInputMessage="1" showErrorMessage="1" error="Enter value_x000a_" sqref="E55:E57" xr:uid="{51D86561-F1C7-46E4-BCE8-81236492FD10}">
      <formula1>0</formula1>
      <formula2>1</formula2>
    </dataValidation>
    <dataValidation type="list" allowBlank="1" showInputMessage="1" showErrorMessage="1" sqref="D25:D28" xr:uid="{01501453-FBDB-4121-A67F-FE4BEBECE8B1}">
      <formula1>Interest_Type</formula1>
    </dataValidation>
    <dataValidation type="whole" allowBlank="1" showInputMessage="1" showErrorMessage="1" error="Exceeds maximum term allowable" sqref="G24:G28" xr:uid="{6C9502B5-A26D-46FB-86EB-00F046F84CA0}">
      <formula1>0</formula1>
      <formula2>360</formula2>
    </dataValidation>
    <dataValidation type="list" allowBlank="1" showInputMessage="1" showErrorMessage="1" sqref="C58:D58" xr:uid="{769CC6C6-1EF5-4AF3-944E-C83B3A231F0B}">
      <formula1>CreditReport</formula1>
    </dataValidation>
    <dataValidation type="list" allowBlank="1" showInputMessage="1" showErrorMessage="1" sqref="M7:M9 M12:M13" xr:uid="{06DA18D2-3763-4AFA-AA40-FB91EF376C87}">
      <formula1>App</formula1>
    </dataValidation>
    <dataValidation type="whole" allowBlank="1" showInputMessage="1" showErrorMessage="1" sqref="C8" xr:uid="{A45ADF3D-EEB6-4484-AC52-C5F752E4D10C}">
      <formula1>1</formula1>
      <formula2>300000</formula2>
    </dataValidation>
    <dataValidation type="list" allowBlank="1" showInputMessage="1" showErrorMessage="1" sqref="B35" xr:uid="{6544821E-6876-461B-971D-5A4A9A476039}">
      <formula1>"Overdraft,Credit Card"</formula1>
    </dataValidation>
    <dataValidation type="list" allowBlank="1" showInputMessage="1" showErrorMessage="1" sqref="B26:B28" xr:uid="{8781282A-A803-462C-A507-4A2AAF9D32DF}">
      <formula1>"Home Loan,Investment Loan"</formula1>
    </dataValidation>
    <dataValidation type="list" allowBlank="1" showInputMessage="1" showErrorMessage="1" sqref="B30" xr:uid="{34D94CDA-69EF-4F35-AEF4-9762EA146692}">
      <formula1>"Car Loan/Lease,Personal Loan"</formula1>
    </dataValidation>
    <dataValidation type="list" allowBlank="1" showInputMessage="1" showErrorMessage="1" sqref="J20:K20" xr:uid="{F0DF65B6-6606-4497-BD77-13725D4D86A7}">
      <formula1>Location</formula1>
    </dataValidation>
    <dataValidation type="list" allowBlank="1" showInputMessage="1" showErrorMessage="1" sqref="K16" xr:uid="{D4B332A1-0663-4CA5-B645-DF18E1531515}">
      <formula1>"Disc applied"</formula1>
    </dataValidation>
    <dataValidation type="list" allowBlank="1" showInputMessage="1" showErrorMessage="1" sqref="J21" xr:uid="{CFEA404C-2D15-4C14-8DEB-9541D2FA2286}">
      <formula1>$A$191:$A$193</formula1>
    </dataValidation>
    <dataValidation type="list" allowBlank="1" showInputMessage="1" showErrorMessage="1" sqref="D36" xr:uid="{91E379CE-C9DD-4C93-84B7-217AD5FF4743}">
      <formula1>CC_Rates</formula1>
    </dataValidation>
    <dataValidation type="list" allowBlank="1" showInputMessage="1" showErrorMessage="1" sqref="I14" xr:uid="{10826F08-771D-4EC5-B349-1013B0DF6AE2}">
      <formula1>Rent_Discount</formula1>
    </dataValidation>
  </dataValidations>
  <pageMargins left="0.23622047244094491" right="0.23622047244094491" top="0.23622047244094491" bottom="0.23622047244094491" header="0.31496062992125984" footer="0.31496062992125984"/>
  <pageSetup paperSize="9" scale="7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6B4248E-519C-4D32-9212-D7B47ED29198}">
          <x14:formula1>
            <xm:f>Tables!$C$365:$C$366</xm:f>
          </x14:formula1>
          <xm:sqref>C13 C19</xm:sqref>
        </x14:dataValidation>
        <x14:dataValidation type="list" allowBlank="1" showInputMessage="1" showErrorMessage="1" xr:uid="{60F0EF06-D80C-4D35-84D3-60ABD1F2F84A}">
          <x14:formula1>
            <xm:f>Tables!$C$369:$C$370</xm:f>
          </x14:formula1>
          <xm:sqref>C18 C12</xm:sqref>
        </x14:dataValidation>
        <x14:dataValidation type="list" allowBlank="1" showInputMessage="1" showErrorMessage="1" xr:uid="{7BB9A84E-A6B6-4656-8BF6-71ADB57D1B9A}">
          <x14:formula1>
            <xm:f>Tables!$A$358:$A$362</xm:f>
          </x14:formula1>
          <xm:sqref>I7:J9</xm:sqref>
        </x14:dataValidation>
        <x14:dataValidation type="list" allowBlank="1" showInputMessage="1" showErrorMessage="1" xr:uid="{70A65A77-7B75-400E-9DD3-8C21A8A9EB19}">
          <x14:formula1>
            <xm:f>Tables!$D$373:$D$374</xm:f>
          </x14:formula1>
          <xm:sqref>H35:H39</xm:sqref>
        </x14:dataValidation>
        <x14:dataValidation type="list" allowBlank="1" showInputMessage="1" showErrorMessage="1" xr:uid="{2FFFDBE3-34F8-4239-8FD8-F8AA6B847E1C}">
          <x14:formula1>
            <xm:f>Tables!$C$379:$C$380</xm:f>
          </x14:formula1>
          <xm:sqref>B39</xm:sqref>
        </x14:dataValidation>
        <x14:dataValidation type="list" allowBlank="1" showInputMessage="1" showErrorMessage="1" xr:uid="{E47F0568-56F5-4037-AA60-8B6ED40A642C}">
          <x14:formula1>
            <xm:f>Tables!$A$394:$A$400</xm:f>
          </x14:formula1>
          <xm:sqref>F44:F45</xm:sqref>
        </x14:dataValidation>
        <x14:dataValidation type="list" allowBlank="1" showInputMessage="1" showErrorMessage="1" xr:uid="{E437E8A8-4EF8-4D50-BBFA-C74708755F70}">
          <x14:formula1>
            <xm:f>Tables!$A$389:$A$391</xm:f>
          </x14:formula1>
          <xm:sqref>I46</xm:sqref>
        </x14:dataValidation>
        <x14:dataValidation type="list" allowBlank="1" showInputMessage="1" showErrorMessage="1" xr:uid="{F8313703-570F-45B6-A879-7E1EB434655E}">
          <x14:formula1>
            <xm:f>Tables!$A$385:$A$386</xm:f>
          </x14:formula1>
          <xm:sqref>K44:K45</xm:sqref>
        </x14:dataValidation>
        <x14:dataValidation type="list" allowBlank="1" showInputMessage="1" showErrorMessage="1" xr:uid="{67218065-2005-417D-9E0E-EE386BFD0723}">
          <x14:formula1>
            <xm:f>Tables!$C$373:$C$374</xm:f>
          </x14:formula1>
          <xm:sqref>H25:H28</xm:sqref>
        </x14:dataValidation>
        <x14:dataValidation type="list" allowBlank="1" showInputMessage="1" showErrorMessage="1" xr:uid="{7CBF0AC7-D133-484D-B5E0-31FE04549A4E}">
          <x14:formula1>
            <xm:f>Tables!$A$385:$A$387</xm:f>
          </x14:formula1>
          <xm:sqref>J18:J19</xm:sqref>
        </x14:dataValidation>
        <x14:dataValidation type="list" allowBlank="1" showInputMessage="1" showErrorMessage="1" xr:uid="{6A5F2E9E-4C92-4C94-97F1-02D390950A0A}">
          <x14:formula1>
            <xm:f>Tables!$A$379:$A$383</xm:f>
          </x14:formula1>
          <xm:sqref>F33:F34</xm:sqref>
        </x14:dataValidation>
        <x14:dataValidation type="list" allowBlank="1" showInputMessage="1" showErrorMessage="1" xr:uid="{1421E683-76E8-4198-9DA4-59F99BC56EDB}">
          <x14:formula1>
            <xm:f>Tables!$A$389:$A$392</xm:f>
          </x14:formula1>
          <xm:sqref>I44:I45</xm:sqref>
        </x14:dataValidation>
        <x14:dataValidation type="list" allowBlank="1" showInputMessage="1" showErrorMessage="1" xr:uid="{4209103E-6F1E-4732-8000-E7F7E71C596F}">
          <x14:formula1>
            <xm:f>Tables!$A$30:$A$138</xm:f>
          </x14:formula1>
          <xm:sqref>D24</xm:sqref>
        </x14:dataValidation>
        <x14:dataValidation type="list" allowBlank="1" showInputMessage="1" showErrorMessage="1" xr:uid="{772D8D73-6942-4236-A368-8D662B4F49F5}">
          <x14:formula1>
            <xm:f>Tables!$F$4:$F$6</xm:f>
          </x14:formula1>
          <xm:sqref>J67:L67</xm:sqref>
        </x14:dataValidation>
        <x14:dataValidation type="list" allowBlank="1" showInputMessage="1" showErrorMessage="1" xr:uid="{8C0BA4DD-9575-4E85-8FB9-3F46460F5A76}">
          <x14:formula1>
            <xm:f>Tables!$D$4:$D$13</xm:f>
          </x14:formula1>
          <xm:sqref>J54:L54</xm:sqref>
        </x14:dataValidation>
        <x14:dataValidation type="list" allowBlank="1" showInputMessage="1" showErrorMessage="1" xr:uid="{CEBBA2AE-2BDA-441D-895A-5BAC840391D4}">
          <x14:formula1>
            <xm:f>Tables!$A$4:$A$8</xm:f>
          </x14:formula1>
          <xm:sqref>J58:L58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U412"/>
  <sheetViews>
    <sheetView topLeftCell="A198" zoomScaleNormal="100" workbookViewId="0">
      <selection activeCell="A201" sqref="A201"/>
    </sheetView>
  </sheetViews>
  <sheetFormatPr defaultColWidth="9.140625" defaultRowHeight="12.75" customHeight="1"/>
  <cols>
    <col min="1" max="1" width="33.140625" style="37" customWidth="1"/>
    <col min="2" max="2" width="16.7109375" style="37" customWidth="1"/>
    <col min="3" max="3" width="11.28515625" style="35" customWidth="1"/>
    <col min="4" max="4" width="13" style="35" customWidth="1"/>
    <col min="5" max="5" width="11.28515625" style="35" bestFit="1" customWidth="1"/>
    <col min="6" max="6" width="12.7109375" style="35" bestFit="1" customWidth="1"/>
    <col min="7" max="7" width="12" style="35" customWidth="1"/>
    <col min="8" max="8" width="11.42578125" style="35" bestFit="1" customWidth="1"/>
    <col min="9" max="10" width="10" style="35" bestFit="1" customWidth="1"/>
    <col min="11" max="12" width="11.140625" style="35" bestFit="1" customWidth="1"/>
    <col min="13" max="13" width="11.28515625" style="35" bestFit="1" customWidth="1"/>
    <col min="14" max="17" width="9.140625" style="35"/>
    <col min="18" max="18" width="43.28515625" style="35" customWidth="1"/>
    <col min="19" max="16384" width="9.140625" style="35"/>
  </cols>
  <sheetData>
    <row r="1" spans="1:6" ht="12.75" customHeight="1">
      <c r="A1" s="34" t="s">
        <v>141</v>
      </c>
      <c r="B1" s="34"/>
    </row>
    <row r="2" spans="1:6" ht="12.75" customHeight="1">
      <c r="A2" s="18"/>
      <c r="B2" s="18"/>
      <c r="C2" s="19"/>
      <c r="D2" s="19"/>
      <c r="E2" s="19"/>
      <c r="F2" s="19"/>
    </row>
    <row r="3" spans="1:6" ht="12.75" customHeight="1">
      <c r="A3" s="20" t="s">
        <v>142</v>
      </c>
      <c r="B3" s="20"/>
      <c r="D3" s="27" t="s">
        <v>143</v>
      </c>
      <c r="F3" s="27" t="s">
        <v>135</v>
      </c>
    </row>
    <row r="4" spans="1:6" ht="12.75" customHeight="1">
      <c r="A4" s="565" t="s">
        <v>306</v>
      </c>
      <c r="B4" s="18"/>
      <c r="D4" s="133" t="s">
        <v>1657</v>
      </c>
      <c r="F4" s="145" t="s">
        <v>1432</v>
      </c>
    </row>
    <row r="5" spans="1:6" ht="12.75" customHeight="1">
      <c r="A5" s="138" t="s">
        <v>307</v>
      </c>
      <c r="B5" s="21"/>
      <c r="D5" s="680" t="s">
        <v>1610</v>
      </c>
      <c r="F5" s="145" t="s">
        <v>1440</v>
      </c>
    </row>
    <row r="6" spans="1:6" ht="12.75" customHeight="1">
      <c r="A6" s="145" t="s">
        <v>1432</v>
      </c>
      <c r="B6" s="21"/>
      <c r="D6" s="133" t="s">
        <v>308</v>
      </c>
      <c r="F6" s="144" t="s">
        <v>1415</v>
      </c>
    </row>
    <row r="7" spans="1:6" ht="12.75" customHeight="1">
      <c r="A7" s="145" t="s">
        <v>1415</v>
      </c>
      <c r="B7" s="21"/>
      <c r="D7" s="498" t="s">
        <v>310</v>
      </c>
    </row>
    <row r="8" spans="1:6" ht="12.75" customHeight="1">
      <c r="A8" s="145" t="s">
        <v>1440</v>
      </c>
      <c r="B8" s="21"/>
      <c r="D8" s="498" t="s">
        <v>309</v>
      </c>
      <c r="F8" s="19"/>
    </row>
    <row r="9" spans="1:6" ht="12.75" customHeight="1">
      <c r="B9" s="21"/>
      <c r="D9" s="498" t="s">
        <v>1620</v>
      </c>
      <c r="F9" s="19"/>
    </row>
    <row r="10" spans="1:6" ht="12.75" customHeight="1">
      <c r="B10" s="21"/>
      <c r="D10" s="133" t="s">
        <v>1414</v>
      </c>
      <c r="F10" s="22"/>
    </row>
    <row r="11" spans="1:6" ht="12.75" customHeight="1">
      <c r="A11" s="21"/>
      <c r="B11" s="21"/>
      <c r="D11" s="680"/>
      <c r="F11" s="22"/>
    </row>
    <row r="12" spans="1:6" ht="12.75" customHeight="1">
      <c r="A12" s="21"/>
      <c r="B12" s="21"/>
      <c r="D12" s="680"/>
      <c r="F12" s="22"/>
    </row>
    <row r="13" spans="1:6" ht="12.75" customHeight="1">
      <c r="A13" s="21"/>
      <c r="B13" s="21"/>
      <c r="D13" s="680"/>
      <c r="F13" s="22"/>
    </row>
    <row r="14" spans="1:6" ht="12.75" customHeight="1">
      <c r="A14" s="21"/>
      <c r="B14" s="21"/>
      <c r="F14" s="22"/>
    </row>
    <row r="15" spans="1:6" ht="12.75" customHeight="1">
      <c r="F15" s="22"/>
    </row>
    <row r="16" spans="1:6" ht="12.75" customHeight="1">
      <c r="F16" s="22"/>
    </row>
    <row r="18" spans="1:13" ht="12.75" customHeight="1" thickBot="1">
      <c r="A18" s="678" t="s">
        <v>148</v>
      </c>
      <c r="B18" s="679" t="s">
        <v>148</v>
      </c>
    </row>
    <row r="19" spans="1:13" ht="12.75" customHeight="1" thickTop="1">
      <c r="A19" s="670" t="s">
        <v>144</v>
      </c>
      <c r="B19" s="671" t="s">
        <v>145</v>
      </c>
    </row>
    <row r="20" spans="1:13" ht="12.75" customHeight="1">
      <c r="A20" s="672" t="s">
        <v>146</v>
      </c>
      <c r="B20" s="673" t="s">
        <v>147</v>
      </c>
    </row>
    <row r="21" spans="1:13" ht="12.75" customHeight="1">
      <c r="A21" s="674" t="s">
        <v>311</v>
      </c>
      <c r="B21" s="675" t="s">
        <v>312</v>
      </c>
    </row>
    <row r="22" spans="1:13" ht="12.75" customHeight="1">
      <c r="A22" s="672" t="s">
        <v>1454</v>
      </c>
      <c r="B22" s="676" t="s">
        <v>1454</v>
      </c>
    </row>
    <row r="23" spans="1:13" ht="12.75" customHeight="1">
      <c r="A23" s="674" t="s">
        <v>1455</v>
      </c>
      <c r="B23" s="675" t="s">
        <v>1455</v>
      </c>
    </row>
    <row r="24" spans="1:13" ht="12.75" customHeight="1">
      <c r="A24" s="672" t="s">
        <v>1457</v>
      </c>
      <c r="B24" s="677" t="s">
        <v>1457</v>
      </c>
    </row>
    <row r="25" spans="1:13" ht="12.75" customHeight="1">
      <c r="A25" s="678" t="s">
        <v>148</v>
      </c>
      <c r="B25" s="679" t="s">
        <v>148</v>
      </c>
    </row>
    <row r="28" spans="1:13" ht="12.75" customHeight="1">
      <c r="A28" s="18"/>
      <c r="B28" s="18"/>
    </row>
    <row r="29" spans="1:13" ht="12.75" customHeight="1">
      <c r="A29" s="23" t="s">
        <v>149</v>
      </c>
      <c r="B29" s="23"/>
      <c r="C29" s="19" t="s">
        <v>144</v>
      </c>
      <c r="D29" s="35" t="s">
        <v>146</v>
      </c>
      <c r="E29" s="19" t="s">
        <v>1621</v>
      </c>
      <c r="F29" s="35" t="s">
        <v>1621</v>
      </c>
      <c r="G29" s="19" t="s">
        <v>1455</v>
      </c>
      <c r="H29" s="19" t="s">
        <v>1457</v>
      </c>
      <c r="I29" s="35" t="s">
        <v>150</v>
      </c>
      <c r="J29" s="19"/>
      <c r="K29" s="19" t="s">
        <v>313</v>
      </c>
      <c r="L29" s="431" t="s">
        <v>42</v>
      </c>
      <c r="M29" s="35" t="s">
        <v>314</v>
      </c>
    </row>
    <row r="30" spans="1:13" ht="12.75" customHeight="1">
      <c r="A30" s="25" t="s">
        <v>315</v>
      </c>
      <c r="B30" s="25" t="s">
        <v>316</v>
      </c>
      <c r="C30" s="136">
        <v>20000</v>
      </c>
      <c r="D30" s="136">
        <v>30150</v>
      </c>
      <c r="E30" s="136">
        <v>40000</v>
      </c>
      <c r="F30" s="136">
        <v>50000</v>
      </c>
      <c r="G30" s="136">
        <v>50000</v>
      </c>
      <c r="H30" s="136">
        <v>100000</v>
      </c>
      <c r="I30" s="333">
        <v>84</v>
      </c>
      <c r="J30" s="19"/>
      <c r="K30" s="25" t="s">
        <v>317</v>
      </c>
      <c r="M30" s="35" t="s">
        <v>318</v>
      </c>
    </row>
    <row r="31" spans="1:13" ht="12.75" customHeight="1">
      <c r="A31" s="25" t="s">
        <v>319</v>
      </c>
      <c r="B31" s="25" t="s">
        <v>316</v>
      </c>
      <c r="C31" s="136">
        <v>30000</v>
      </c>
      <c r="D31" s="136">
        <v>40000</v>
      </c>
      <c r="E31" s="136">
        <v>50000</v>
      </c>
      <c r="F31" s="136">
        <v>85000</v>
      </c>
      <c r="G31" s="136">
        <v>150000</v>
      </c>
      <c r="H31" s="136">
        <v>250000</v>
      </c>
      <c r="I31" s="333">
        <v>84</v>
      </c>
      <c r="J31" s="19"/>
      <c r="K31" s="25" t="s">
        <v>320</v>
      </c>
      <c r="M31" s="35" t="s">
        <v>318</v>
      </c>
    </row>
    <row r="32" spans="1:13" ht="12.75" customHeight="1">
      <c r="A32" s="25" t="s">
        <v>321</v>
      </c>
      <c r="B32" s="25" t="s">
        <v>322</v>
      </c>
      <c r="C32" s="136">
        <v>60000</v>
      </c>
      <c r="D32" s="136">
        <v>100000</v>
      </c>
      <c r="E32" s="136">
        <v>150000</v>
      </c>
      <c r="F32" s="136">
        <v>200000</v>
      </c>
      <c r="G32" s="136">
        <v>250000</v>
      </c>
      <c r="H32" s="136">
        <v>300000</v>
      </c>
      <c r="I32" s="333">
        <v>84</v>
      </c>
      <c r="J32" s="19"/>
      <c r="K32" s="25" t="s">
        <v>320</v>
      </c>
      <c r="M32" s="35" t="s">
        <v>318</v>
      </c>
    </row>
    <row r="33" spans="1:13" ht="12.75" customHeight="1">
      <c r="A33" s="25" t="s">
        <v>323</v>
      </c>
      <c r="B33" s="25" t="s">
        <v>324</v>
      </c>
      <c r="C33" s="136">
        <v>60000</v>
      </c>
      <c r="D33" s="136">
        <v>100000</v>
      </c>
      <c r="E33" s="136">
        <v>150000</v>
      </c>
      <c r="F33" s="136">
        <v>200000</v>
      </c>
      <c r="G33" s="136">
        <v>250000</v>
      </c>
      <c r="H33" s="136">
        <v>300000</v>
      </c>
      <c r="I33" s="333">
        <v>84</v>
      </c>
      <c r="J33" s="19"/>
      <c r="K33" s="25" t="s">
        <v>320</v>
      </c>
      <c r="M33" s="35" t="s">
        <v>318</v>
      </c>
    </row>
    <row r="34" spans="1:13" ht="12.75" customHeight="1">
      <c r="A34" s="25" t="s">
        <v>325</v>
      </c>
      <c r="B34" s="25" t="s">
        <v>326</v>
      </c>
      <c r="C34" s="136">
        <v>60000</v>
      </c>
      <c r="D34" s="136">
        <v>100000</v>
      </c>
      <c r="E34" s="136">
        <v>150000</v>
      </c>
      <c r="F34" s="136">
        <v>200000</v>
      </c>
      <c r="G34" s="136">
        <v>250000</v>
      </c>
      <c r="H34" s="136">
        <v>300000</v>
      </c>
      <c r="I34" s="333">
        <v>84</v>
      </c>
      <c r="J34" s="19"/>
      <c r="K34" s="25" t="s">
        <v>320</v>
      </c>
      <c r="M34" s="35" t="s">
        <v>318</v>
      </c>
    </row>
    <row r="35" spans="1:13" ht="12.75" customHeight="1">
      <c r="A35" s="25" t="s">
        <v>69</v>
      </c>
      <c r="B35" s="25" t="s">
        <v>327</v>
      </c>
      <c r="C35" s="136">
        <v>25000</v>
      </c>
      <c r="D35" s="136">
        <v>25000</v>
      </c>
      <c r="E35" s="136">
        <v>25000</v>
      </c>
      <c r="F35" s="136">
        <v>25000</v>
      </c>
      <c r="G35" s="136">
        <v>35000</v>
      </c>
      <c r="H35" s="136">
        <v>50000</v>
      </c>
      <c r="I35" s="333">
        <v>36</v>
      </c>
      <c r="K35" s="25" t="s">
        <v>317</v>
      </c>
      <c r="M35" s="35" t="s">
        <v>318</v>
      </c>
    </row>
    <row r="36" spans="1:13" ht="12.75" customHeight="1">
      <c r="A36" s="25" t="s">
        <v>328</v>
      </c>
      <c r="B36" s="25" t="s">
        <v>329</v>
      </c>
      <c r="C36" s="136">
        <v>25000</v>
      </c>
      <c r="D36" s="136">
        <v>25000</v>
      </c>
      <c r="E36" s="136">
        <v>25000</v>
      </c>
      <c r="F36" s="136">
        <v>25000</v>
      </c>
      <c r="G36" s="136">
        <v>35000</v>
      </c>
      <c r="H36" s="136">
        <v>50000</v>
      </c>
      <c r="I36" s="333">
        <v>36</v>
      </c>
      <c r="K36" s="25" t="s">
        <v>317</v>
      </c>
      <c r="M36" s="35" t="s">
        <v>318</v>
      </c>
    </row>
    <row r="37" spans="1:13" ht="12.75" customHeight="1">
      <c r="A37" s="41" t="s">
        <v>1460</v>
      </c>
      <c r="B37" s="25" t="s">
        <v>1461</v>
      </c>
      <c r="C37" s="136">
        <v>750000</v>
      </c>
      <c r="D37" s="136">
        <v>1000000</v>
      </c>
      <c r="E37" s="136">
        <v>1500000</v>
      </c>
      <c r="F37" s="136">
        <v>2000000</v>
      </c>
      <c r="G37" s="136">
        <v>2500000</v>
      </c>
      <c r="H37" s="136">
        <v>3000000</v>
      </c>
      <c r="I37" s="333">
        <v>360</v>
      </c>
      <c r="K37" s="335">
        <v>0.8</v>
      </c>
      <c r="L37" s="433"/>
      <c r="M37" s="35" t="s">
        <v>330</v>
      </c>
    </row>
    <row r="38" spans="1:13" ht="12.75" customHeight="1">
      <c r="A38" s="41" t="s">
        <v>1462</v>
      </c>
      <c r="B38" s="25" t="s">
        <v>1463</v>
      </c>
      <c r="C38" s="136">
        <v>750000</v>
      </c>
      <c r="D38" s="136">
        <v>1000000</v>
      </c>
      <c r="E38" s="136">
        <v>1500000</v>
      </c>
      <c r="F38" s="136">
        <v>2000000</v>
      </c>
      <c r="G38" s="136">
        <v>2500000</v>
      </c>
      <c r="H38" s="136">
        <v>3000000</v>
      </c>
      <c r="I38" s="333">
        <v>360</v>
      </c>
      <c r="K38" s="335">
        <v>0.8</v>
      </c>
      <c r="L38" s="433">
        <v>0.9</v>
      </c>
      <c r="M38" s="35" t="s">
        <v>330</v>
      </c>
    </row>
    <row r="39" spans="1:13" ht="12.75" customHeight="1">
      <c r="A39" s="41" t="s">
        <v>1464</v>
      </c>
      <c r="B39" s="25" t="s">
        <v>1465</v>
      </c>
      <c r="C39" s="136">
        <v>750000</v>
      </c>
      <c r="D39" s="136">
        <v>1000000</v>
      </c>
      <c r="E39" s="136">
        <v>1500000</v>
      </c>
      <c r="F39" s="136">
        <v>2000000</v>
      </c>
      <c r="G39" s="136">
        <v>2500000</v>
      </c>
      <c r="H39" s="136">
        <v>3000000</v>
      </c>
      <c r="I39" s="333">
        <v>360</v>
      </c>
      <c r="K39" s="335">
        <v>0.8</v>
      </c>
      <c r="L39" s="433">
        <v>0.95</v>
      </c>
      <c r="M39" s="35" t="s">
        <v>330</v>
      </c>
    </row>
    <row r="40" spans="1:13" ht="12.75" customHeight="1">
      <c r="A40" s="41" t="s">
        <v>1466</v>
      </c>
      <c r="B40" s="25" t="s">
        <v>1467</v>
      </c>
      <c r="C40" s="136">
        <v>750000</v>
      </c>
      <c r="D40" s="136">
        <v>1000000</v>
      </c>
      <c r="E40" s="136">
        <v>1500000</v>
      </c>
      <c r="F40" s="136">
        <v>2000000</v>
      </c>
      <c r="G40" s="136">
        <v>2500000</v>
      </c>
      <c r="H40" s="136">
        <v>3000000</v>
      </c>
      <c r="I40" s="333">
        <v>360</v>
      </c>
      <c r="K40" s="335">
        <v>0.8</v>
      </c>
      <c r="M40" s="35" t="s">
        <v>330</v>
      </c>
    </row>
    <row r="41" spans="1:13" ht="12.75" customHeight="1">
      <c r="A41" s="41" t="s">
        <v>1468</v>
      </c>
      <c r="B41" s="25" t="s">
        <v>1469</v>
      </c>
      <c r="C41" s="136">
        <v>750000</v>
      </c>
      <c r="D41" s="136">
        <v>1000000</v>
      </c>
      <c r="E41" s="136">
        <v>1500000</v>
      </c>
      <c r="F41" s="136">
        <v>2000000</v>
      </c>
      <c r="G41" s="136">
        <v>2500000</v>
      </c>
      <c r="H41" s="136">
        <v>3000000</v>
      </c>
      <c r="I41" s="333">
        <v>360</v>
      </c>
      <c r="K41" s="335">
        <v>0.8</v>
      </c>
      <c r="L41" s="433">
        <v>0.9</v>
      </c>
      <c r="M41" s="35" t="s">
        <v>330</v>
      </c>
    </row>
    <row r="42" spans="1:13" ht="12.75" customHeight="1">
      <c r="A42" s="41" t="s">
        <v>1470</v>
      </c>
      <c r="B42" s="25" t="s">
        <v>1471</v>
      </c>
      <c r="C42" s="136">
        <v>750000</v>
      </c>
      <c r="D42" s="136">
        <v>1000000</v>
      </c>
      <c r="E42" s="136">
        <v>1500000</v>
      </c>
      <c r="F42" s="136">
        <v>2000000</v>
      </c>
      <c r="G42" s="136">
        <v>2500000</v>
      </c>
      <c r="H42" s="136">
        <v>3000000</v>
      </c>
      <c r="I42" s="333">
        <v>360</v>
      </c>
      <c r="K42" s="335">
        <v>0.8</v>
      </c>
      <c r="L42" s="433">
        <v>0.95</v>
      </c>
      <c r="M42" s="35" t="s">
        <v>330</v>
      </c>
    </row>
    <row r="43" spans="1:13" ht="12.75" customHeight="1">
      <c r="A43" s="41" t="s">
        <v>1472</v>
      </c>
      <c r="B43" s="25" t="s">
        <v>1473</v>
      </c>
      <c r="C43" s="136">
        <v>750000</v>
      </c>
      <c r="D43" s="136">
        <v>1000000</v>
      </c>
      <c r="E43" s="136">
        <v>1500000</v>
      </c>
      <c r="F43" s="136">
        <v>2000000</v>
      </c>
      <c r="G43" s="136">
        <v>2500000</v>
      </c>
      <c r="H43" s="136">
        <v>3000000</v>
      </c>
      <c r="I43" s="333">
        <v>360</v>
      </c>
      <c r="K43" s="335">
        <v>0.8</v>
      </c>
      <c r="L43" s="433">
        <v>0.95</v>
      </c>
      <c r="M43" s="35" t="s">
        <v>330</v>
      </c>
    </row>
    <row r="44" spans="1:13" ht="12.75" customHeight="1">
      <c r="A44" s="41" t="s">
        <v>1474</v>
      </c>
      <c r="B44" s="25" t="s">
        <v>1475</v>
      </c>
      <c r="C44" s="136">
        <v>750000</v>
      </c>
      <c r="D44" s="136">
        <v>1000000</v>
      </c>
      <c r="E44" s="136">
        <v>1500000</v>
      </c>
      <c r="F44" s="136">
        <v>2000000</v>
      </c>
      <c r="G44" s="136">
        <v>2500000</v>
      </c>
      <c r="H44" s="136">
        <v>3000000</v>
      </c>
      <c r="I44" s="333">
        <v>360</v>
      </c>
      <c r="K44" s="335">
        <v>0.8</v>
      </c>
      <c r="L44" s="433">
        <v>0.9</v>
      </c>
      <c r="M44" s="35" t="s">
        <v>330</v>
      </c>
    </row>
    <row r="45" spans="1:13" ht="12.75" customHeight="1">
      <c r="A45" s="41" t="s">
        <v>1476</v>
      </c>
      <c r="B45" s="25" t="s">
        <v>1477</v>
      </c>
      <c r="C45" s="136">
        <v>750000</v>
      </c>
      <c r="D45" s="136">
        <v>1000000</v>
      </c>
      <c r="E45" s="136">
        <v>1500000</v>
      </c>
      <c r="F45" s="136">
        <v>2000000</v>
      </c>
      <c r="G45" s="136">
        <v>2500000</v>
      </c>
      <c r="H45" s="136">
        <v>3000000</v>
      </c>
      <c r="I45" s="333">
        <v>360</v>
      </c>
      <c r="K45" s="335">
        <v>0.8</v>
      </c>
      <c r="L45" s="433">
        <v>0.95</v>
      </c>
      <c r="M45" s="35" t="s">
        <v>330</v>
      </c>
    </row>
    <row r="46" spans="1:13" ht="12.75" customHeight="1">
      <c r="A46" s="41" t="s">
        <v>1478</v>
      </c>
      <c r="B46" s="25" t="s">
        <v>1479</v>
      </c>
      <c r="C46" s="136">
        <v>750000</v>
      </c>
      <c r="D46" s="136">
        <v>1000000</v>
      </c>
      <c r="E46" s="136">
        <v>1500000</v>
      </c>
      <c r="F46" s="136">
        <v>2000000</v>
      </c>
      <c r="G46" s="136">
        <v>2500000</v>
      </c>
      <c r="H46" s="136">
        <v>3000000</v>
      </c>
      <c r="I46" s="333">
        <v>360</v>
      </c>
      <c r="K46" s="335">
        <v>0.8</v>
      </c>
      <c r="L46" s="433">
        <v>0.95</v>
      </c>
      <c r="M46" s="35" t="s">
        <v>330</v>
      </c>
    </row>
    <row r="47" spans="1:13" ht="12.75" customHeight="1">
      <c r="A47" s="41" t="s">
        <v>1480</v>
      </c>
      <c r="B47" s="25" t="s">
        <v>1481</v>
      </c>
      <c r="C47" s="136">
        <v>750000</v>
      </c>
      <c r="D47" s="136">
        <v>1000000</v>
      </c>
      <c r="E47" s="136">
        <v>1500000</v>
      </c>
      <c r="F47" s="136">
        <v>2000000</v>
      </c>
      <c r="G47" s="136">
        <v>2500000</v>
      </c>
      <c r="H47" s="136">
        <v>3000000</v>
      </c>
      <c r="I47" s="333">
        <v>360</v>
      </c>
      <c r="K47" s="335">
        <v>0.8</v>
      </c>
      <c r="L47" s="433">
        <v>0.95</v>
      </c>
      <c r="M47" s="35" t="s">
        <v>330</v>
      </c>
    </row>
    <row r="48" spans="1:13" ht="12.75" customHeight="1">
      <c r="A48" s="41" t="s">
        <v>1482</v>
      </c>
      <c r="B48" s="25" t="s">
        <v>1483</v>
      </c>
      <c r="C48" s="136">
        <v>750000</v>
      </c>
      <c r="D48" s="136">
        <v>1000000</v>
      </c>
      <c r="E48" s="136">
        <v>1500000</v>
      </c>
      <c r="F48" s="136">
        <v>2000000</v>
      </c>
      <c r="G48" s="136">
        <v>2500000</v>
      </c>
      <c r="H48" s="136">
        <v>3000000</v>
      </c>
      <c r="I48" s="333">
        <v>360</v>
      </c>
      <c r="K48" s="335">
        <v>0.8</v>
      </c>
      <c r="L48" s="433">
        <v>0.95</v>
      </c>
      <c r="M48" s="35" t="s">
        <v>330</v>
      </c>
    </row>
    <row r="49" spans="1:13" ht="12.75" customHeight="1">
      <c r="A49" s="41" t="s">
        <v>1484</v>
      </c>
      <c r="B49" s="25" t="s">
        <v>1485</v>
      </c>
      <c r="C49" s="136">
        <v>750000</v>
      </c>
      <c r="D49" s="136">
        <v>1000000</v>
      </c>
      <c r="E49" s="136">
        <v>1500000</v>
      </c>
      <c r="F49" s="136">
        <v>2000000</v>
      </c>
      <c r="G49" s="136">
        <v>2500000</v>
      </c>
      <c r="H49" s="136">
        <v>3000000</v>
      </c>
      <c r="I49" s="333">
        <v>360</v>
      </c>
      <c r="K49" s="335">
        <v>0.8</v>
      </c>
      <c r="M49" s="35" t="s">
        <v>330</v>
      </c>
    </row>
    <row r="50" spans="1:13" ht="12.75" customHeight="1">
      <c r="A50" s="41" t="s">
        <v>1486</v>
      </c>
      <c r="B50" s="25" t="s">
        <v>1487</v>
      </c>
      <c r="C50" s="136">
        <v>750000</v>
      </c>
      <c r="D50" s="136">
        <v>1000000</v>
      </c>
      <c r="E50" s="136">
        <v>1500000</v>
      </c>
      <c r="F50" s="136">
        <v>2000000</v>
      </c>
      <c r="G50" s="136">
        <v>2500000</v>
      </c>
      <c r="H50" s="136">
        <v>3000000</v>
      </c>
      <c r="I50" s="333">
        <v>360</v>
      </c>
      <c r="K50" s="335">
        <v>0.8</v>
      </c>
      <c r="L50" s="433">
        <v>0.9</v>
      </c>
      <c r="M50" s="35" t="s">
        <v>330</v>
      </c>
    </row>
    <row r="51" spans="1:13" ht="12.75" customHeight="1">
      <c r="A51" s="41" t="s">
        <v>1488</v>
      </c>
      <c r="B51" s="25" t="s">
        <v>1489</v>
      </c>
      <c r="C51" s="136">
        <v>750000</v>
      </c>
      <c r="D51" s="136">
        <v>1000000</v>
      </c>
      <c r="E51" s="136">
        <v>1500000</v>
      </c>
      <c r="F51" s="136">
        <v>2000000</v>
      </c>
      <c r="G51" s="136">
        <v>2500000</v>
      </c>
      <c r="H51" s="136">
        <v>3000000</v>
      </c>
      <c r="I51" s="333">
        <v>360</v>
      </c>
      <c r="K51" s="335">
        <v>0.8</v>
      </c>
      <c r="L51" s="433"/>
      <c r="M51" s="35" t="s">
        <v>330</v>
      </c>
    </row>
    <row r="52" spans="1:13" ht="12.75" customHeight="1">
      <c r="A52" s="41" t="s">
        <v>1490</v>
      </c>
      <c r="B52" s="25" t="s">
        <v>1491</v>
      </c>
      <c r="C52" s="136">
        <v>750000</v>
      </c>
      <c r="D52" s="136">
        <v>1000000</v>
      </c>
      <c r="E52" s="136">
        <v>1500000</v>
      </c>
      <c r="F52" s="136">
        <v>2000000</v>
      </c>
      <c r="G52" s="136">
        <v>2500000</v>
      </c>
      <c r="H52" s="136">
        <v>3000000</v>
      </c>
      <c r="I52" s="333">
        <v>360</v>
      </c>
      <c r="K52" s="335">
        <v>0.8</v>
      </c>
      <c r="L52" s="433">
        <v>0.9</v>
      </c>
      <c r="M52" s="35" t="s">
        <v>330</v>
      </c>
    </row>
    <row r="53" spans="1:13" ht="12.75" customHeight="1">
      <c r="A53" s="41" t="s">
        <v>1492</v>
      </c>
      <c r="B53" s="25" t="s">
        <v>1493</v>
      </c>
      <c r="C53" s="136">
        <v>750000</v>
      </c>
      <c r="D53" s="136">
        <v>1000000</v>
      </c>
      <c r="E53" s="136">
        <v>1500000</v>
      </c>
      <c r="F53" s="136">
        <v>2000000</v>
      </c>
      <c r="G53" s="136">
        <v>2500000</v>
      </c>
      <c r="H53" s="136">
        <v>3000000</v>
      </c>
      <c r="I53" s="333">
        <v>360</v>
      </c>
      <c r="K53" s="335">
        <v>0.8</v>
      </c>
      <c r="L53" s="433">
        <v>0.9</v>
      </c>
      <c r="M53" s="35" t="s">
        <v>330</v>
      </c>
    </row>
    <row r="54" spans="1:13" ht="12.75" customHeight="1">
      <c r="A54" s="41" t="s">
        <v>1494</v>
      </c>
      <c r="B54" s="25" t="s">
        <v>1495</v>
      </c>
      <c r="C54" s="136">
        <v>750000</v>
      </c>
      <c r="D54" s="136">
        <v>1000000</v>
      </c>
      <c r="E54" s="136">
        <v>1500000</v>
      </c>
      <c r="F54" s="136">
        <v>2000000</v>
      </c>
      <c r="G54" s="136">
        <v>2500000</v>
      </c>
      <c r="H54" s="136">
        <v>3000000</v>
      </c>
      <c r="I54" s="333">
        <v>360</v>
      </c>
      <c r="K54" s="335">
        <v>0.8</v>
      </c>
      <c r="L54" s="433">
        <v>0.9</v>
      </c>
      <c r="M54" s="35" t="s">
        <v>330</v>
      </c>
    </row>
    <row r="55" spans="1:13" ht="12.75" customHeight="1">
      <c r="A55" s="41" t="s">
        <v>1496</v>
      </c>
      <c r="B55" s="25" t="s">
        <v>1497</v>
      </c>
      <c r="C55" s="136">
        <v>750000</v>
      </c>
      <c r="D55" s="136">
        <v>1000000</v>
      </c>
      <c r="E55" s="136">
        <v>1500000</v>
      </c>
      <c r="F55" s="136">
        <v>2000000</v>
      </c>
      <c r="G55" s="136">
        <v>2500000</v>
      </c>
      <c r="H55" s="136">
        <v>3000000</v>
      </c>
      <c r="I55" s="333">
        <v>360</v>
      </c>
      <c r="K55" s="335">
        <v>0.8</v>
      </c>
      <c r="L55" s="433">
        <v>0.9</v>
      </c>
      <c r="M55" s="35" t="s">
        <v>330</v>
      </c>
    </row>
    <row r="56" spans="1:13" ht="12.75" customHeight="1">
      <c r="A56" s="41" t="s">
        <v>1498</v>
      </c>
      <c r="B56" s="25" t="s">
        <v>1499</v>
      </c>
      <c r="C56" s="136">
        <v>750000</v>
      </c>
      <c r="D56" s="136">
        <v>1000000</v>
      </c>
      <c r="E56" s="136">
        <v>1500000</v>
      </c>
      <c r="F56" s="136">
        <v>2000000</v>
      </c>
      <c r="G56" s="136">
        <v>2500000</v>
      </c>
      <c r="H56" s="136">
        <v>3000000</v>
      </c>
      <c r="I56" s="333">
        <v>360</v>
      </c>
      <c r="K56" s="335">
        <v>0.8</v>
      </c>
      <c r="L56" s="433">
        <v>0.9</v>
      </c>
      <c r="M56" s="35" t="s">
        <v>330</v>
      </c>
    </row>
    <row r="57" spans="1:13" ht="12.75" customHeight="1">
      <c r="A57" s="41" t="s">
        <v>1500</v>
      </c>
      <c r="B57" s="25" t="s">
        <v>1501</v>
      </c>
      <c r="C57" s="136">
        <v>750000</v>
      </c>
      <c r="D57" s="136">
        <v>1000000</v>
      </c>
      <c r="E57" s="136">
        <v>1500000</v>
      </c>
      <c r="F57" s="136">
        <v>2000000</v>
      </c>
      <c r="G57" s="136">
        <v>2500000</v>
      </c>
      <c r="H57" s="136">
        <v>3000000</v>
      </c>
      <c r="I57" s="333">
        <v>360</v>
      </c>
      <c r="K57" s="335">
        <v>0.8</v>
      </c>
      <c r="L57" s="433">
        <v>0.9</v>
      </c>
      <c r="M57" s="35" t="s">
        <v>330</v>
      </c>
    </row>
    <row r="58" spans="1:13" ht="12.75" customHeight="1">
      <c r="A58" s="41" t="s">
        <v>1502</v>
      </c>
      <c r="B58" s="25" t="s">
        <v>1503</v>
      </c>
      <c r="C58" s="136">
        <v>750000</v>
      </c>
      <c r="D58" s="136">
        <v>1000000</v>
      </c>
      <c r="E58" s="136">
        <v>1500000</v>
      </c>
      <c r="F58" s="136">
        <v>2000000</v>
      </c>
      <c r="G58" s="136">
        <v>2500000</v>
      </c>
      <c r="H58" s="136">
        <v>3000000</v>
      </c>
      <c r="I58" s="333">
        <v>360</v>
      </c>
      <c r="K58" s="335">
        <v>0.8</v>
      </c>
      <c r="L58" s="433">
        <v>0.9</v>
      </c>
      <c r="M58" s="35" t="s">
        <v>330</v>
      </c>
    </row>
    <row r="59" spans="1:13" ht="12.75" customHeight="1">
      <c r="A59" s="41" t="s">
        <v>1504</v>
      </c>
      <c r="B59" s="25" t="s">
        <v>1505</v>
      </c>
      <c r="C59" s="136">
        <v>750000</v>
      </c>
      <c r="D59" s="136">
        <v>1000000</v>
      </c>
      <c r="E59" s="136">
        <v>1500000</v>
      </c>
      <c r="F59" s="136">
        <v>2000000</v>
      </c>
      <c r="G59" s="136">
        <v>2500000</v>
      </c>
      <c r="H59" s="136">
        <v>3000000</v>
      </c>
      <c r="I59" s="333">
        <v>360</v>
      </c>
      <c r="K59" s="335">
        <v>0.8</v>
      </c>
      <c r="L59" s="433">
        <v>0.9</v>
      </c>
      <c r="M59" s="35" t="s">
        <v>330</v>
      </c>
    </row>
    <row r="60" spans="1:13" ht="12.75" customHeight="1">
      <c r="A60" s="41" t="s">
        <v>1506</v>
      </c>
      <c r="B60" s="25" t="s">
        <v>1507</v>
      </c>
      <c r="C60" s="136">
        <v>750000</v>
      </c>
      <c r="D60" s="136">
        <v>1000000</v>
      </c>
      <c r="E60" s="136">
        <v>1500000</v>
      </c>
      <c r="F60" s="136">
        <v>2000000</v>
      </c>
      <c r="G60" s="136">
        <v>2500000</v>
      </c>
      <c r="H60" s="136">
        <v>3000000</v>
      </c>
      <c r="I60" s="333">
        <v>360</v>
      </c>
      <c r="K60" s="335">
        <v>0.8</v>
      </c>
      <c r="L60" s="433">
        <v>0.9</v>
      </c>
      <c r="M60" s="35" t="s">
        <v>330</v>
      </c>
    </row>
    <row r="61" spans="1:13" ht="12.75" customHeight="1">
      <c r="A61" s="41" t="s">
        <v>1508</v>
      </c>
      <c r="B61" s="25" t="s">
        <v>1509</v>
      </c>
      <c r="C61" s="136">
        <v>750000</v>
      </c>
      <c r="D61" s="136">
        <v>1000000</v>
      </c>
      <c r="E61" s="136">
        <v>1500000</v>
      </c>
      <c r="F61" s="136">
        <v>2000000</v>
      </c>
      <c r="G61" s="136">
        <v>2500000</v>
      </c>
      <c r="H61" s="136">
        <v>3000000</v>
      </c>
      <c r="I61" s="333">
        <v>360</v>
      </c>
      <c r="K61" s="335">
        <v>0.8</v>
      </c>
      <c r="L61" s="433">
        <v>0.9</v>
      </c>
      <c r="M61" s="35" t="s">
        <v>330</v>
      </c>
    </row>
    <row r="62" spans="1:13" ht="12.75" customHeight="1">
      <c r="A62" s="41" t="s">
        <v>1510</v>
      </c>
      <c r="B62" s="25" t="s">
        <v>1511</v>
      </c>
      <c r="C62" s="136">
        <v>750000</v>
      </c>
      <c r="D62" s="136">
        <v>1000000</v>
      </c>
      <c r="E62" s="136">
        <v>1500000</v>
      </c>
      <c r="F62" s="136">
        <v>2000000</v>
      </c>
      <c r="G62" s="136">
        <v>2500000</v>
      </c>
      <c r="H62" s="136">
        <v>3000000</v>
      </c>
      <c r="I62" s="333">
        <v>360</v>
      </c>
      <c r="K62" s="335">
        <v>0.8</v>
      </c>
      <c r="M62" s="35" t="s">
        <v>330</v>
      </c>
    </row>
    <row r="63" spans="1:13" ht="12.75" customHeight="1">
      <c r="A63" s="41" t="s">
        <v>1512</v>
      </c>
      <c r="B63" s="25" t="s">
        <v>1513</v>
      </c>
      <c r="C63" s="136">
        <v>750000</v>
      </c>
      <c r="D63" s="136">
        <v>1000000</v>
      </c>
      <c r="E63" s="136">
        <v>1500000</v>
      </c>
      <c r="F63" s="136">
        <v>2000000</v>
      </c>
      <c r="G63" s="136">
        <v>2500000</v>
      </c>
      <c r="H63" s="136">
        <v>3000000</v>
      </c>
      <c r="I63" s="333">
        <v>360</v>
      </c>
      <c r="K63" s="335">
        <v>0.8</v>
      </c>
      <c r="L63" s="433">
        <v>0.9</v>
      </c>
      <c r="M63" s="35" t="s">
        <v>330</v>
      </c>
    </row>
    <row r="64" spans="1:13" ht="12.75" customHeight="1">
      <c r="A64" s="41" t="s">
        <v>1514</v>
      </c>
      <c r="B64" s="25" t="s">
        <v>1515</v>
      </c>
      <c r="C64" s="136">
        <v>750000</v>
      </c>
      <c r="D64" s="136">
        <v>1000000</v>
      </c>
      <c r="E64" s="136">
        <v>1500000</v>
      </c>
      <c r="F64" s="136">
        <v>2000000</v>
      </c>
      <c r="G64" s="136">
        <v>2500000</v>
      </c>
      <c r="H64" s="136">
        <v>3000000</v>
      </c>
      <c r="I64" s="333">
        <v>360</v>
      </c>
      <c r="K64" s="335">
        <v>0.8</v>
      </c>
      <c r="L64" s="433">
        <v>0.95</v>
      </c>
      <c r="M64" s="35" t="s">
        <v>330</v>
      </c>
    </row>
    <row r="65" spans="1:13" ht="12.75" customHeight="1">
      <c r="A65" s="41" t="s">
        <v>1516</v>
      </c>
      <c r="B65" s="25" t="s">
        <v>1517</v>
      </c>
      <c r="C65" s="136">
        <v>750000</v>
      </c>
      <c r="D65" s="136">
        <v>1000000</v>
      </c>
      <c r="E65" s="136">
        <v>1500000</v>
      </c>
      <c r="F65" s="136">
        <v>2000000</v>
      </c>
      <c r="G65" s="136">
        <v>2500000</v>
      </c>
      <c r="H65" s="136">
        <v>3000000</v>
      </c>
      <c r="I65" s="333">
        <v>360</v>
      </c>
      <c r="K65" s="335">
        <v>0.8</v>
      </c>
      <c r="M65" s="35" t="s">
        <v>330</v>
      </c>
    </row>
    <row r="66" spans="1:13" ht="12.75" customHeight="1">
      <c r="A66" s="41" t="s">
        <v>1518</v>
      </c>
      <c r="B66" s="25" t="s">
        <v>1519</v>
      </c>
      <c r="C66" s="136">
        <v>750000</v>
      </c>
      <c r="D66" s="136">
        <v>1000000</v>
      </c>
      <c r="E66" s="136">
        <v>1500000</v>
      </c>
      <c r="F66" s="136">
        <v>2000000</v>
      </c>
      <c r="G66" s="136">
        <v>2500000</v>
      </c>
      <c r="H66" s="136">
        <v>3000000</v>
      </c>
      <c r="I66" s="333">
        <v>360</v>
      </c>
      <c r="K66" s="335">
        <v>0.8</v>
      </c>
      <c r="L66" s="433">
        <v>0.9</v>
      </c>
      <c r="M66" s="35" t="s">
        <v>330</v>
      </c>
    </row>
    <row r="67" spans="1:13" ht="12.75" customHeight="1">
      <c r="A67" s="41" t="s">
        <v>1520</v>
      </c>
      <c r="B67" s="25" t="s">
        <v>1521</v>
      </c>
      <c r="C67" s="136">
        <v>750000</v>
      </c>
      <c r="D67" s="136">
        <v>1000000</v>
      </c>
      <c r="E67" s="136">
        <v>1500000</v>
      </c>
      <c r="F67" s="136">
        <v>2000000</v>
      </c>
      <c r="G67" s="136">
        <v>2500000</v>
      </c>
      <c r="H67" s="136">
        <v>3000000</v>
      </c>
      <c r="I67" s="333">
        <v>360</v>
      </c>
      <c r="K67" s="335">
        <v>0.8</v>
      </c>
      <c r="L67" s="433">
        <v>0.95</v>
      </c>
      <c r="M67" s="35" t="s">
        <v>330</v>
      </c>
    </row>
    <row r="68" spans="1:13" ht="12.75" customHeight="1">
      <c r="A68" s="41" t="s">
        <v>1522</v>
      </c>
      <c r="B68" s="25" t="s">
        <v>1523</v>
      </c>
      <c r="C68" s="136">
        <v>750000</v>
      </c>
      <c r="D68" s="136">
        <v>1000000</v>
      </c>
      <c r="E68" s="136">
        <v>1500000</v>
      </c>
      <c r="F68" s="136">
        <v>2000000</v>
      </c>
      <c r="G68" s="136">
        <v>2500000</v>
      </c>
      <c r="H68" s="136">
        <v>3000000</v>
      </c>
      <c r="I68" s="333">
        <v>360</v>
      </c>
      <c r="K68" s="335">
        <v>0.8</v>
      </c>
      <c r="L68" s="433">
        <v>0.95</v>
      </c>
      <c r="M68" s="35" t="s">
        <v>330</v>
      </c>
    </row>
    <row r="69" spans="1:13" ht="12.75" customHeight="1">
      <c r="A69" s="41" t="s">
        <v>1524</v>
      </c>
      <c r="B69" s="25" t="s">
        <v>1525</v>
      </c>
      <c r="C69" s="136">
        <v>750000</v>
      </c>
      <c r="D69" s="136">
        <v>1000000</v>
      </c>
      <c r="E69" s="136">
        <v>1500000</v>
      </c>
      <c r="F69" s="136">
        <v>2000000</v>
      </c>
      <c r="G69" s="136">
        <v>2500000</v>
      </c>
      <c r="H69" s="136">
        <v>3000000</v>
      </c>
      <c r="I69" s="333">
        <v>360</v>
      </c>
      <c r="K69" s="335">
        <v>0.8</v>
      </c>
      <c r="L69" s="433">
        <v>0.95</v>
      </c>
      <c r="M69" s="35" t="s">
        <v>330</v>
      </c>
    </row>
    <row r="70" spans="1:13" ht="12.75" customHeight="1">
      <c r="A70" s="41" t="s">
        <v>1526</v>
      </c>
      <c r="B70" s="25" t="s">
        <v>1527</v>
      </c>
      <c r="C70" s="136">
        <v>750000</v>
      </c>
      <c r="D70" s="136">
        <v>1000000</v>
      </c>
      <c r="E70" s="136">
        <v>1500000</v>
      </c>
      <c r="F70" s="136">
        <v>2000000</v>
      </c>
      <c r="G70" s="136">
        <v>2500000</v>
      </c>
      <c r="H70" s="136">
        <v>3000000</v>
      </c>
      <c r="I70" s="333">
        <v>360</v>
      </c>
      <c r="K70" s="335">
        <v>0.8</v>
      </c>
      <c r="L70" s="433">
        <v>0.95</v>
      </c>
      <c r="M70" s="35" t="s">
        <v>330</v>
      </c>
    </row>
    <row r="71" spans="1:13" ht="12.75" customHeight="1">
      <c r="A71" s="41" t="s">
        <v>1528</v>
      </c>
      <c r="B71" s="25" t="s">
        <v>1529</v>
      </c>
      <c r="C71" s="136">
        <v>750000</v>
      </c>
      <c r="D71" s="136">
        <v>1000000</v>
      </c>
      <c r="E71" s="136">
        <v>1500000</v>
      </c>
      <c r="F71" s="136">
        <v>2000000</v>
      </c>
      <c r="G71" s="136">
        <v>2500000</v>
      </c>
      <c r="H71" s="136">
        <v>3000000</v>
      </c>
      <c r="I71" s="333">
        <v>360</v>
      </c>
      <c r="K71" s="335">
        <v>0.8</v>
      </c>
      <c r="L71" s="433">
        <v>0.95</v>
      </c>
      <c r="M71" s="35" t="s">
        <v>330</v>
      </c>
    </row>
    <row r="72" spans="1:13" ht="12.75" customHeight="1">
      <c r="A72" s="41" t="s">
        <v>1530</v>
      </c>
      <c r="B72" s="25" t="s">
        <v>1531</v>
      </c>
      <c r="C72" s="136">
        <v>750000</v>
      </c>
      <c r="D72" s="136">
        <v>1000000</v>
      </c>
      <c r="E72" s="136">
        <v>1500000</v>
      </c>
      <c r="F72" s="136">
        <v>2000000</v>
      </c>
      <c r="G72" s="136">
        <v>2500000</v>
      </c>
      <c r="H72" s="136">
        <v>3000000</v>
      </c>
      <c r="I72" s="333">
        <v>360</v>
      </c>
      <c r="K72" s="335">
        <v>0.8</v>
      </c>
      <c r="L72" s="433">
        <v>0.95</v>
      </c>
      <c r="M72" s="35" t="s">
        <v>330</v>
      </c>
    </row>
    <row r="73" spans="1:13" ht="12.75" customHeight="1">
      <c r="A73" s="41" t="s">
        <v>1532</v>
      </c>
      <c r="B73" s="25" t="s">
        <v>1533</v>
      </c>
      <c r="C73" s="136">
        <v>750000</v>
      </c>
      <c r="D73" s="136">
        <v>1000000</v>
      </c>
      <c r="E73" s="136">
        <v>1500000</v>
      </c>
      <c r="F73" s="136">
        <v>2000000</v>
      </c>
      <c r="G73" s="136">
        <v>2500000</v>
      </c>
      <c r="H73" s="136">
        <v>3000000</v>
      </c>
      <c r="I73" s="333">
        <v>360</v>
      </c>
      <c r="K73" s="335">
        <v>0.8</v>
      </c>
      <c r="M73" s="35" t="s">
        <v>330</v>
      </c>
    </row>
    <row r="74" spans="1:13" ht="12.75" customHeight="1">
      <c r="A74" s="41" t="s">
        <v>1534</v>
      </c>
      <c r="B74" s="25" t="s">
        <v>1535</v>
      </c>
      <c r="C74" s="136">
        <v>750000</v>
      </c>
      <c r="D74" s="136">
        <v>1000000</v>
      </c>
      <c r="E74" s="136">
        <v>1500000</v>
      </c>
      <c r="F74" s="136">
        <v>2000000</v>
      </c>
      <c r="G74" s="136">
        <v>2500000</v>
      </c>
      <c r="H74" s="136">
        <v>3000000</v>
      </c>
      <c r="I74" s="333">
        <v>360</v>
      </c>
      <c r="K74" s="335">
        <v>0.8</v>
      </c>
      <c r="L74" s="433">
        <v>0.9</v>
      </c>
      <c r="M74" s="35" t="s">
        <v>330</v>
      </c>
    </row>
    <row r="75" spans="1:13" ht="12.75" customHeight="1">
      <c r="A75" s="41" t="s">
        <v>1536</v>
      </c>
      <c r="B75" s="25" t="s">
        <v>1537</v>
      </c>
      <c r="C75" s="136">
        <v>750000</v>
      </c>
      <c r="D75" s="136">
        <v>1000000</v>
      </c>
      <c r="E75" s="136">
        <v>1500000</v>
      </c>
      <c r="F75" s="136">
        <v>2000000</v>
      </c>
      <c r="G75" s="136">
        <v>2500000</v>
      </c>
      <c r="H75" s="136">
        <v>3000000</v>
      </c>
      <c r="I75" s="333">
        <v>360</v>
      </c>
      <c r="K75" s="335">
        <v>0.8</v>
      </c>
      <c r="M75" s="35" t="s">
        <v>330</v>
      </c>
    </row>
    <row r="76" spans="1:13" ht="12.75" customHeight="1">
      <c r="A76" s="41" t="s">
        <v>1538</v>
      </c>
      <c r="B76" s="25" t="s">
        <v>1539</v>
      </c>
      <c r="C76" s="136">
        <v>750000</v>
      </c>
      <c r="D76" s="136">
        <v>1000000</v>
      </c>
      <c r="E76" s="136">
        <v>1500000</v>
      </c>
      <c r="F76" s="136">
        <v>2000000</v>
      </c>
      <c r="G76" s="136">
        <v>2500000</v>
      </c>
      <c r="H76" s="136">
        <v>3000000</v>
      </c>
      <c r="I76" s="333">
        <v>360</v>
      </c>
      <c r="K76" s="335">
        <v>0.8</v>
      </c>
      <c r="L76" s="433">
        <v>0.9</v>
      </c>
      <c r="M76" s="35" t="s">
        <v>330</v>
      </c>
    </row>
    <row r="77" spans="1:13" ht="12.75" customHeight="1">
      <c r="A77" s="41" t="s">
        <v>1540</v>
      </c>
      <c r="B77" s="25" t="s">
        <v>1541</v>
      </c>
      <c r="C77" s="136">
        <v>750000</v>
      </c>
      <c r="D77" s="136">
        <v>1000000</v>
      </c>
      <c r="E77" s="136">
        <v>1500000</v>
      </c>
      <c r="F77" s="136">
        <v>2000000</v>
      </c>
      <c r="G77" s="136">
        <v>2500000</v>
      </c>
      <c r="H77" s="136">
        <v>3000000</v>
      </c>
      <c r="I77" s="333">
        <v>360</v>
      </c>
      <c r="K77" s="335">
        <v>0.8</v>
      </c>
      <c r="L77" s="433">
        <v>0.9</v>
      </c>
      <c r="M77" s="35" t="s">
        <v>330</v>
      </c>
    </row>
    <row r="78" spans="1:13" ht="12.75" customHeight="1">
      <c r="A78" s="41" t="s">
        <v>1542</v>
      </c>
      <c r="B78" s="25" t="s">
        <v>1543</v>
      </c>
      <c r="C78" s="136">
        <v>750000</v>
      </c>
      <c r="D78" s="136">
        <v>1000000</v>
      </c>
      <c r="E78" s="136">
        <v>1500000</v>
      </c>
      <c r="F78" s="136">
        <v>2000000</v>
      </c>
      <c r="G78" s="136">
        <v>2500000</v>
      </c>
      <c r="H78" s="136">
        <v>3000000</v>
      </c>
      <c r="I78" s="333">
        <v>360</v>
      </c>
      <c r="K78" s="335">
        <v>0.8</v>
      </c>
      <c r="L78" s="433">
        <v>0.9</v>
      </c>
      <c r="M78" s="35" t="s">
        <v>330</v>
      </c>
    </row>
    <row r="79" spans="1:13" ht="12.75" customHeight="1">
      <c r="A79" s="41" t="s">
        <v>1544</v>
      </c>
      <c r="B79" s="25" t="s">
        <v>1545</v>
      </c>
      <c r="C79" s="136">
        <v>750000</v>
      </c>
      <c r="D79" s="136">
        <v>1000000</v>
      </c>
      <c r="E79" s="136">
        <v>1500000</v>
      </c>
      <c r="F79" s="136">
        <v>2000000</v>
      </c>
      <c r="G79" s="136">
        <v>2500000</v>
      </c>
      <c r="H79" s="136">
        <v>3000000</v>
      </c>
      <c r="I79" s="333">
        <v>360</v>
      </c>
      <c r="K79" s="335">
        <v>0.8</v>
      </c>
      <c r="L79" s="433">
        <v>0.9</v>
      </c>
      <c r="M79" s="35" t="s">
        <v>330</v>
      </c>
    </row>
    <row r="80" spans="1:13" ht="12.75" customHeight="1">
      <c r="A80" s="41" t="s">
        <v>1546</v>
      </c>
      <c r="B80" s="25" t="s">
        <v>1547</v>
      </c>
      <c r="C80" s="136">
        <v>750000</v>
      </c>
      <c r="D80" s="136">
        <v>1000000</v>
      </c>
      <c r="E80" s="136">
        <v>1500000</v>
      </c>
      <c r="F80" s="136">
        <v>2000000</v>
      </c>
      <c r="G80" s="136">
        <v>2500000</v>
      </c>
      <c r="H80" s="136">
        <v>3000000</v>
      </c>
      <c r="I80" s="333">
        <v>360</v>
      </c>
      <c r="K80" s="335">
        <v>0.8</v>
      </c>
      <c r="L80" s="433">
        <v>0.9</v>
      </c>
      <c r="M80" s="35" t="s">
        <v>330</v>
      </c>
    </row>
    <row r="81" spans="1:13" ht="12.75" customHeight="1">
      <c r="A81" s="41" t="s">
        <v>1548</v>
      </c>
      <c r="B81" s="25" t="s">
        <v>1549</v>
      </c>
      <c r="C81" s="136">
        <v>750000</v>
      </c>
      <c r="D81" s="136">
        <v>1000000</v>
      </c>
      <c r="E81" s="136">
        <v>1500000</v>
      </c>
      <c r="F81" s="136">
        <v>2000000</v>
      </c>
      <c r="G81" s="136">
        <v>2500000</v>
      </c>
      <c r="H81" s="136">
        <v>3000000</v>
      </c>
      <c r="I81" s="333">
        <v>360</v>
      </c>
      <c r="K81" s="335">
        <v>0.8</v>
      </c>
      <c r="L81" s="433">
        <v>0.9</v>
      </c>
      <c r="M81" s="35" t="s">
        <v>330</v>
      </c>
    </row>
    <row r="82" spans="1:13" ht="12.75" customHeight="1">
      <c r="A82" s="41" t="s">
        <v>1550</v>
      </c>
      <c r="B82" s="25" t="s">
        <v>1551</v>
      </c>
      <c r="C82" s="136">
        <v>750000</v>
      </c>
      <c r="D82" s="136">
        <v>1000000</v>
      </c>
      <c r="E82" s="136">
        <v>1500000</v>
      </c>
      <c r="F82" s="136">
        <v>2000000</v>
      </c>
      <c r="G82" s="136">
        <v>2500000</v>
      </c>
      <c r="H82" s="136">
        <v>3000000</v>
      </c>
      <c r="I82" s="333">
        <v>360</v>
      </c>
      <c r="K82" s="335">
        <v>0.8</v>
      </c>
      <c r="L82" s="433">
        <v>0.9</v>
      </c>
      <c r="M82" s="35" t="s">
        <v>330</v>
      </c>
    </row>
    <row r="83" spans="1:13" ht="12.75" customHeight="1">
      <c r="A83" s="41" t="s">
        <v>1552</v>
      </c>
      <c r="B83" s="25" t="s">
        <v>1553</v>
      </c>
      <c r="C83" s="136">
        <v>750000</v>
      </c>
      <c r="D83" s="136">
        <v>1000000</v>
      </c>
      <c r="E83" s="136">
        <v>1500000</v>
      </c>
      <c r="F83" s="136">
        <v>2000000</v>
      </c>
      <c r="G83" s="136">
        <v>2500000</v>
      </c>
      <c r="H83" s="136">
        <v>3000000</v>
      </c>
      <c r="I83" s="333">
        <v>360</v>
      </c>
      <c r="K83" s="335">
        <v>0.8</v>
      </c>
      <c r="L83" s="433">
        <v>0.9</v>
      </c>
      <c r="M83" s="35" t="s">
        <v>330</v>
      </c>
    </row>
    <row r="84" spans="1:13" ht="12.75" customHeight="1">
      <c r="A84" s="41" t="s">
        <v>1554</v>
      </c>
      <c r="B84" s="25" t="s">
        <v>1555</v>
      </c>
      <c r="C84" s="136">
        <v>750000</v>
      </c>
      <c r="D84" s="136">
        <v>1000000</v>
      </c>
      <c r="E84" s="136">
        <v>1500000</v>
      </c>
      <c r="F84" s="136">
        <v>2000000</v>
      </c>
      <c r="G84" s="136">
        <v>2500000</v>
      </c>
      <c r="H84" s="136">
        <v>3000000</v>
      </c>
      <c r="I84" s="333">
        <v>360</v>
      </c>
      <c r="K84" s="335">
        <v>0.8</v>
      </c>
      <c r="L84" s="433">
        <v>0.9</v>
      </c>
      <c r="M84" s="35" t="s">
        <v>330</v>
      </c>
    </row>
    <row r="85" spans="1:13" ht="12.75" customHeight="1">
      <c r="A85" s="41" t="s">
        <v>1556</v>
      </c>
      <c r="B85" s="25" t="s">
        <v>1557</v>
      </c>
      <c r="C85" s="136">
        <v>750000</v>
      </c>
      <c r="D85" s="136">
        <v>1000000</v>
      </c>
      <c r="E85" s="136">
        <v>1500000</v>
      </c>
      <c r="F85" s="136">
        <v>2000000</v>
      </c>
      <c r="G85" s="136">
        <v>2500000</v>
      </c>
      <c r="H85" s="136">
        <v>3000000</v>
      </c>
      <c r="I85" s="333">
        <v>360</v>
      </c>
      <c r="K85" s="335">
        <v>0.8</v>
      </c>
      <c r="L85" s="433">
        <v>0.9</v>
      </c>
      <c r="M85" s="35" t="s">
        <v>330</v>
      </c>
    </row>
    <row r="86" spans="1:13" ht="12.75" customHeight="1">
      <c r="A86" s="41" t="s">
        <v>1558</v>
      </c>
      <c r="B86" s="25" t="s">
        <v>1559</v>
      </c>
      <c r="C86" s="136">
        <v>750000</v>
      </c>
      <c r="D86" s="136">
        <v>1000000</v>
      </c>
      <c r="E86" s="136">
        <v>1500000</v>
      </c>
      <c r="F86" s="136">
        <v>2000000</v>
      </c>
      <c r="G86" s="136">
        <v>2500000</v>
      </c>
      <c r="H86" s="136">
        <v>3000000</v>
      </c>
      <c r="I86" s="333">
        <v>360</v>
      </c>
      <c r="K86" s="335">
        <v>0.8</v>
      </c>
      <c r="M86" s="35" t="s">
        <v>330</v>
      </c>
    </row>
    <row r="87" spans="1:13" ht="12.75" customHeight="1">
      <c r="A87" s="41" t="s">
        <v>1560</v>
      </c>
      <c r="B87" s="25" t="s">
        <v>1561</v>
      </c>
      <c r="C87" s="136">
        <v>750000</v>
      </c>
      <c r="D87" s="136">
        <v>1000000</v>
      </c>
      <c r="E87" s="136">
        <v>1500000</v>
      </c>
      <c r="F87" s="136">
        <v>2000000</v>
      </c>
      <c r="G87" s="136">
        <v>2500000</v>
      </c>
      <c r="H87" s="136">
        <v>3000000</v>
      </c>
      <c r="I87" s="333">
        <v>360</v>
      </c>
      <c r="K87" s="335">
        <v>0.8</v>
      </c>
      <c r="L87" s="433">
        <v>0.9</v>
      </c>
      <c r="M87" s="35" t="s">
        <v>330</v>
      </c>
    </row>
    <row r="88" spans="1:13" ht="12.75" customHeight="1">
      <c r="A88" s="41" t="s">
        <v>1562</v>
      </c>
      <c r="B88" s="25" t="s">
        <v>1563</v>
      </c>
      <c r="C88" s="136">
        <v>750000</v>
      </c>
      <c r="D88" s="136">
        <v>1000000</v>
      </c>
      <c r="E88" s="136">
        <v>1500000</v>
      </c>
      <c r="F88" s="136">
        <v>2000000</v>
      </c>
      <c r="G88" s="136">
        <v>2500000</v>
      </c>
      <c r="H88" s="136">
        <v>3000000</v>
      </c>
      <c r="I88" s="333">
        <v>360</v>
      </c>
      <c r="K88" s="335">
        <v>0.8</v>
      </c>
      <c r="L88" s="433">
        <v>0.95</v>
      </c>
      <c r="M88" s="35" t="s">
        <v>330</v>
      </c>
    </row>
    <row r="89" spans="1:13" ht="12.75" customHeight="1">
      <c r="A89" s="41" t="s">
        <v>1564</v>
      </c>
      <c r="B89" s="25" t="s">
        <v>1565</v>
      </c>
      <c r="C89" s="136">
        <v>750000</v>
      </c>
      <c r="D89" s="136">
        <v>1000000</v>
      </c>
      <c r="E89" s="136">
        <v>1500000</v>
      </c>
      <c r="F89" s="136">
        <v>2000000</v>
      </c>
      <c r="G89" s="136">
        <v>2500000</v>
      </c>
      <c r="H89" s="136">
        <v>3000000</v>
      </c>
      <c r="I89" s="333">
        <v>360</v>
      </c>
      <c r="K89" s="335">
        <v>0.8</v>
      </c>
      <c r="M89" s="35" t="s">
        <v>330</v>
      </c>
    </row>
    <row r="90" spans="1:13" ht="12.75" customHeight="1">
      <c r="A90" s="41" t="s">
        <v>1566</v>
      </c>
      <c r="B90" s="25" t="s">
        <v>1567</v>
      </c>
      <c r="C90" s="136">
        <v>750000</v>
      </c>
      <c r="D90" s="136">
        <v>1000000</v>
      </c>
      <c r="E90" s="136">
        <v>1500000</v>
      </c>
      <c r="F90" s="136">
        <v>2000000</v>
      </c>
      <c r="G90" s="136">
        <v>2500000</v>
      </c>
      <c r="H90" s="136">
        <v>3000000</v>
      </c>
      <c r="I90" s="333">
        <v>360</v>
      </c>
      <c r="K90" s="335">
        <v>0.8</v>
      </c>
      <c r="L90" s="433">
        <v>0.9</v>
      </c>
      <c r="M90" s="35" t="s">
        <v>330</v>
      </c>
    </row>
    <row r="91" spans="1:13" ht="12.75" customHeight="1">
      <c r="A91" s="41" t="s">
        <v>1568</v>
      </c>
      <c r="B91" s="25" t="s">
        <v>1569</v>
      </c>
      <c r="C91" s="136">
        <v>750000</v>
      </c>
      <c r="D91" s="136">
        <v>1000000</v>
      </c>
      <c r="E91" s="136">
        <v>1500000</v>
      </c>
      <c r="F91" s="136">
        <v>2000000</v>
      </c>
      <c r="G91" s="136">
        <v>2500000</v>
      </c>
      <c r="H91" s="136">
        <v>3000000</v>
      </c>
      <c r="I91" s="333">
        <v>360</v>
      </c>
      <c r="K91" s="335">
        <v>0.8</v>
      </c>
      <c r="L91" s="433">
        <v>0.95</v>
      </c>
      <c r="M91" s="35" t="s">
        <v>330</v>
      </c>
    </row>
    <row r="92" spans="1:13" ht="12.75" customHeight="1">
      <c r="A92" s="41" t="s">
        <v>1570</v>
      </c>
      <c r="B92" s="25" t="s">
        <v>1571</v>
      </c>
      <c r="C92" s="136">
        <v>750000</v>
      </c>
      <c r="D92" s="136">
        <v>1000000</v>
      </c>
      <c r="E92" s="136">
        <v>1500000</v>
      </c>
      <c r="F92" s="136">
        <v>2000000</v>
      </c>
      <c r="G92" s="136">
        <v>2500000</v>
      </c>
      <c r="H92" s="136">
        <v>3000000</v>
      </c>
      <c r="I92" s="333">
        <v>360</v>
      </c>
      <c r="K92" s="335">
        <v>0.8</v>
      </c>
      <c r="L92" s="433">
        <v>0.95</v>
      </c>
      <c r="M92" s="35" t="s">
        <v>330</v>
      </c>
    </row>
    <row r="93" spans="1:13" ht="12.75" customHeight="1">
      <c r="A93" s="41" t="s">
        <v>1572</v>
      </c>
      <c r="B93" s="25" t="s">
        <v>1573</v>
      </c>
      <c r="C93" s="136">
        <v>750000</v>
      </c>
      <c r="D93" s="136">
        <v>1000000</v>
      </c>
      <c r="E93" s="136">
        <v>1500000</v>
      </c>
      <c r="F93" s="136">
        <v>2000000</v>
      </c>
      <c r="G93" s="136">
        <v>2500000</v>
      </c>
      <c r="H93" s="136">
        <v>3000000</v>
      </c>
      <c r="I93" s="333">
        <v>360</v>
      </c>
      <c r="K93" s="335">
        <v>0.8</v>
      </c>
      <c r="L93" s="433">
        <v>0.95</v>
      </c>
      <c r="M93" s="35" t="s">
        <v>330</v>
      </c>
    </row>
    <row r="94" spans="1:13" ht="12.75" customHeight="1">
      <c r="A94" s="41" t="s">
        <v>1574</v>
      </c>
      <c r="B94" s="25" t="s">
        <v>1575</v>
      </c>
      <c r="C94" s="136">
        <v>750000</v>
      </c>
      <c r="D94" s="136">
        <v>1000000</v>
      </c>
      <c r="E94" s="136">
        <v>1500000</v>
      </c>
      <c r="F94" s="136">
        <v>2000000</v>
      </c>
      <c r="G94" s="136">
        <v>2500000</v>
      </c>
      <c r="H94" s="136">
        <v>3000000</v>
      </c>
      <c r="I94" s="333">
        <v>360</v>
      </c>
      <c r="K94" s="335">
        <v>0.8</v>
      </c>
      <c r="L94" s="433">
        <v>0.95</v>
      </c>
      <c r="M94" s="35" t="s">
        <v>330</v>
      </c>
    </row>
    <row r="95" spans="1:13" ht="12.75" customHeight="1">
      <c r="A95" s="41" t="s">
        <v>1576</v>
      </c>
      <c r="B95" s="25" t="s">
        <v>1577</v>
      </c>
      <c r="C95" s="136">
        <v>750000</v>
      </c>
      <c r="D95" s="136">
        <v>1000000</v>
      </c>
      <c r="E95" s="136">
        <v>1500000</v>
      </c>
      <c r="F95" s="136">
        <v>2000000</v>
      </c>
      <c r="G95" s="136">
        <v>2500000</v>
      </c>
      <c r="H95" s="136">
        <v>3000000</v>
      </c>
      <c r="I95" s="333">
        <v>360</v>
      </c>
      <c r="K95" s="335">
        <v>0.8</v>
      </c>
      <c r="L95" s="433">
        <v>0.95</v>
      </c>
      <c r="M95" s="35" t="s">
        <v>330</v>
      </c>
    </row>
    <row r="96" spans="1:13" ht="12.75" customHeight="1">
      <c r="A96" s="41" t="s">
        <v>1578</v>
      </c>
      <c r="B96" s="25" t="s">
        <v>1579</v>
      </c>
      <c r="C96" s="136">
        <v>750000</v>
      </c>
      <c r="D96" s="136">
        <v>1000000</v>
      </c>
      <c r="E96" s="136">
        <v>1500000</v>
      </c>
      <c r="F96" s="136">
        <v>2000000</v>
      </c>
      <c r="G96" s="136">
        <v>2500000</v>
      </c>
      <c r="H96" s="136">
        <v>3000000</v>
      </c>
      <c r="I96" s="333">
        <v>360</v>
      </c>
      <c r="K96" s="335">
        <v>0.8</v>
      </c>
      <c r="L96" s="433">
        <v>0.95</v>
      </c>
      <c r="M96" s="35" t="s">
        <v>330</v>
      </c>
    </row>
    <row r="97" spans="1:13" ht="12.75" customHeight="1">
      <c r="A97" s="41" t="s">
        <v>1580</v>
      </c>
      <c r="B97" s="25" t="s">
        <v>1581</v>
      </c>
      <c r="C97" s="136">
        <v>750000</v>
      </c>
      <c r="D97" s="136">
        <v>1000000</v>
      </c>
      <c r="E97" s="136">
        <v>1500000</v>
      </c>
      <c r="F97" s="136">
        <v>2000000</v>
      </c>
      <c r="G97" s="136">
        <v>2500000</v>
      </c>
      <c r="H97" s="136">
        <v>3000000</v>
      </c>
      <c r="I97" s="333">
        <v>360</v>
      </c>
      <c r="K97" s="335">
        <v>0.8</v>
      </c>
      <c r="L97" s="433">
        <v>0.95</v>
      </c>
      <c r="M97" s="35" t="s">
        <v>330</v>
      </c>
    </row>
    <row r="98" spans="1:13" ht="12.75" customHeight="1">
      <c r="A98" s="41" t="s">
        <v>1582</v>
      </c>
      <c r="B98" s="25" t="s">
        <v>1583</v>
      </c>
      <c r="C98" s="136">
        <v>750000</v>
      </c>
      <c r="D98" s="136">
        <v>1000000</v>
      </c>
      <c r="E98" s="136">
        <v>1500000</v>
      </c>
      <c r="F98" s="136">
        <v>2000000</v>
      </c>
      <c r="G98" s="136">
        <v>2500000</v>
      </c>
      <c r="H98" s="136">
        <v>3000000</v>
      </c>
      <c r="I98" s="333">
        <v>360</v>
      </c>
      <c r="K98" s="335">
        <v>0.8</v>
      </c>
      <c r="L98" s="433"/>
      <c r="M98" s="35" t="s">
        <v>330</v>
      </c>
    </row>
    <row r="99" spans="1:13" ht="12.75" customHeight="1">
      <c r="A99" s="41" t="s">
        <v>1584</v>
      </c>
      <c r="B99" s="25" t="s">
        <v>1585</v>
      </c>
      <c r="C99" s="136">
        <v>750000</v>
      </c>
      <c r="D99" s="136">
        <v>1000000</v>
      </c>
      <c r="E99" s="136">
        <v>1500000</v>
      </c>
      <c r="F99" s="136">
        <v>2000000</v>
      </c>
      <c r="G99" s="136">
        <v>2500000</v>
      </c>
      <c r="H99" s="136">
        <v>3000000</v>
      </c>
      <c r="I99" s="333">
        <v>360</v>
      </c>
      <c r="K99" s="335">
        <v>0.8</v>
      </c>
      <c r="L99" s="433">
        <v>0.9</v>
      </c>
      <c r="M99" s="35" t="s">
        <v>330</v>
      </c>
    </row>
    <row r="100" spans="1:13" ht="12.75" customHeight="1">
      <c r="A100" s="41" t="s">
        <v>1586</v>
      </c>
      <c r="B100" s="25" t="s">
        <v>1587</v>
      </c>
      <c r="C100" s="136">
        <v>750000</v>
      </c>
      <c r="D100" s="136">
        <v>1000000</v>
      </c>
      <c r="E100" s="136">
        <v>1500000</v>
      </c>
      <c r="F100" s="136">
        <v>2000000</v>
      </c>
      <c r="G100" s="136">
        <v>2500000</v>
      </c>
      <c r="H100" s="136">
        <v>3000000</v>
      </c>
      <c r="I100" s="333">
        <v>360</v>
      </c>
      <c r="K100" s="335">
        <v>0.8</v>
      </c>
      <c r="M100" s="35" t="s">
        <v>330</v>
      </c>
    </row>
    <row r="101" spans="1:13" ht="12.75" customHeight="1">
      <c r="A101" s="41" t="s">
        <v>1588</v>
      </c>
      <c r="B101" s="25" t="s">
        <v>1589</v>
      </c>
      <c r="C101" s="136">
        <v>750000</v>
      </c>
      <c r="D101" s="136">
        <v>1000000</v>
      </c>
      <c r="E101" s="136">
        <v>1500000</v>
      </c>
      <c r="F101" s="136">
        <v>2000000</v>
      </c>
      <c r="G101" s="136">
        <v>2500000</v>
      </c>
      <c r="H101" s="136">
        <v>3000000</v>
      </c>
      <c r="I101" s="333">
        <v>360</v>
      </c>
      <c r="K101" s="335">
        <v>0.8</v>
      </c>
      <c r="L101" s="433">
        <v>0.9</v>
      </c>
      <c r="M101" s="35" t="s">
        <v>330</v>
      </c>
    </row>
    <row r="102" spans="1:13" ht="12.75" customHeight="1">
      <c r="A102" s="41" t="s">
        <v>1590</v>
      </c>
      <c r="B102" s="25" t="s">
        <v>1591</v>
      </c>
      <c r="C102" s="136">
        <v>750000</v>
      </c>
      <c r="D102" s="136">
        <v>1000000</v>
      </c>
      <c r="E102" s="136">
        <v>1500000</v>
      </c>
      <c r="F102" s="136">
        <v>2000000</v>
      </c>
      <c r="G102" s="136">
        <v>2500000</v>
      </c>
      <c r="H102" s="136">
        <v>3000000</v>
      </c>
      <c r="I102" s="333">
        <v>360</v>
      </c>
      <c r="K102" s="335">
        <v>0.8</v>
      </c>
      <c r="L102" s="433">
        <v>0.9</v>
      </c>
      <c r="M102" s="35" t="s">
        <v>330</v>
      </c>
    </row>
    <row r="103" spans="1:13" ht="12.75" customHeight="1">
      <c r="A103" s="41" t="s">
        <v>1592</v>
      </c>
      <c r="B103" s="25" t="s">
        <v>1593</v>
      </c>
      <c r="C103" s="136">
        <v>750000</v>
      </c>
      <c r="D103" s="136">
        <v>1000000</v>
      </c>
      <c r="E103" s="136">
        <v>1500000</v>
      </c>
      <c r="F103" s="136">
        <v>2000000</v>
      </c>
      <c r="G103" s="136">
        <v>2500000</v>
      </c>
      <c r="H103" s="136">
        <v>3000000</v>
      </c>
      <c r="I103" s="333">
        <v>360</v>
      </c>
      <c r="K103" s="335">
        <v>0.8</v>
      </c>
      <c r="L103" s="433">
        <v>0.9</v>
      </c>
      <c r="M103" s="35" t="s">
        <v>330</v>
      </c>
    </row>
    <row r="104" spans="1:13" ht="12.75" customHeight="1">
      <c r="A104" s="41" t="s">
        <v>1594</v>
      </c>
      <c r="B104" s="25" t="s">
        <v>1595</v>
      </c>
      <c r="C104" s="136">
        <v>750000</v>
      </c>
      <c r="D104" s="136">
        <v>1000000</v>
      </c>
      <c r="E104" s="136">
        <v>1500000</v>
      </c>
      <c r="F104" s="136">
        <v>2000000</v>
      </c>
      <c r="G104" s="136">
        <v>2500000</v>
      </c>
      <c r="H104" s="136">
        <v>3000000</v>
      </c>
      <c r="I104" s="333">
        <v>360</v>
      </c>
      <c r="K104" s="335">
        <v>0.8</v>
      </c>
      <c r="L104" s="433">
        <v>0.9</v>
      </c>
      <c r="M104" s="35" t="s">
        <v>330</v>
      </c>
    </row>
    <row r="105" spans="1:13" ht="12.75" customHeight="1">
      <c r="A105" s="41" t="s">
        <v>1596</v>
      </c>
      <c r="B105" s="25" t="s">
        <v>1597</v>
      </c>
      <c r="C105" s="136">
        <v>750000</v>
      </c>
      <c r="D105" s="136">
        <v>1000000</v>
      </c>
      <c r="E105" s="136">
        <v>1500000</v>
      </c>
      <c r="F105" s="136">
        <v>2000000</v>
      </c>
      <c r="G105" s="136">
        <v>2500000</v>
      </c>
      <c r="H105" s="136">
        <v>3000000</v>
      </c>
      <c r="I105" s="333">
        <v>360</v>
      </c>
      <c r="K105" s="335">
        <v>0.8</v>
      </c>
      <c r="L105" s="433">
        <v>0.9</v>
      </c>
      <c r="M105" s="35" t="s">
        <v>330</v>
      </c>
    </row>
    <row r="106" spans="1:13" ht="12.75" customHeight="1">
      <c r="A106" s="41" t="s">
        <v>1598</v>
      </c>
      <c r="B106" s="25" t="s">
        <v>1599</v>
      </c>
      <c r="C106" s="136">
        <v>750000</v>
      </c>
      <c r="D106" s="136">
        <v>1000000</v>
      </c>
      <c r="E106" s="136">
        <v>1500000</v>
      </c>
      <c r="F106" s="136">
        <v>2000000</v>
      </c>
      <c r="G106" s="136">
        <v>2500000</v>
      </c>
      <c r="H106" s="136">
        <v>3000000</v>
      </c>
      <c r="I106" s="333">
        <v>360</v>
      </c>
      <c r="K106" s="335">
        <v>0.8</v>
      </c>
      <c r="L106" s="433">
        <v>0.9</v>
      </c>
      <c r="M106" s="35" t="s">
        <v>330</v>
      </c>
    </row>
    <row r="107" spans="1:13" ht="12.75" customHeight="1">
      <c r="A107" s="41" t="s">
        <v>1600</v>
      </c>
      <c r="B107" s="25" t="s">
        <v>1601</v>
      </c>
      <c r="C107" s="136">
        <v>750000</v>
      </c>
      <c r="D107" s="136">
        <v>1000000</v>
      </c>
      <c r="E107" s="136">
        <v>1500000</v>
      </c>
      <c r="F107" s="136">
        <v>2000000</v>
      </c>
      <c r="G107" s="136">
        <v>2500000</v>
      </c>
      <c r="H107" s="136">
        <v>3000000</v>
      </c>
      <c r="I107" s="333">
        <v>360</v>
      </c>
      <c r="K107" s="335">
        <v>0.8</v>
      </c>
      <c r="L107" s="433">
        <v>0.9</v>
      </c>
      <c r="M107" s="35" t="s">
        <v>330</v>
      </c>
    </row>
    <row r="108" spans="1:13" ht="12.75" customHeight="1">
      <c r="A108" s="41" t="s">
        <v>1602</v>
      </c>
      <c r="B108" s="25" t="s">
        <v>1603</v>
      </c>
      <c r="C108" s="136">
        <v>750000</v>
      </c>
      <c r="D108" s="136">
        <v>1000000</v>
      </c>
      <c r="E108" s="136">
        <v>1500000</v>
      </c>
      <c r="F108" s="136">
        <v>2000000</v>
      </c>
      <c r="G108" s="136">
        <v>2500000</v>
      </c>
      <c r="H108" s="136">
        <v>3000000</v>
      </c>
      <c r="I108" s="333">
        <v>360</v>
      </c>
      <c r="K108" s="335">
        <v>0.8</v>
      </c>
      <c r="L108" s="433">
        <v>0.9</v>
      </c>
      <c r="M108" s="35" t="s">
        <v>330</v>
      </c>
    </row>
    <row r="109" spans="1:13" ht="12.75" customHeight="1">
      <c r="A109" s="41" t="s">
        <v>1604</v>
      </c>
      <c r="B109" s="25" t="s">
        <v>1605</v>
      </c>
      <c r="C109" s="136">
        <v>750000</v>
      </c>
      <c r="D109" s="136">
        <v>1000000</v>
      </c>
      <c r="E109" s="136">
        <v>1500000</v>
      </c>
      <c r="F109" s="136">
        <v>2000000</v>
      </c>
      <c r="G109" s="136">
        <v>2500000</v>
      </c>
      <c r="H109" s="136">
        <v>3000000</v>
      </c>
      <c r="I109" s="333">
        <v>360</v>
      </c>
      <c r="K109" s="335">
        <v>0.8</v>
      </c>
      <c r="L109" s="433">
        <v>0.9</v>
      </c>
      <c r="M109" s="35" t="s">
        <v>330</v>
      </c>
    </row>
    <row r="110" spans="1:13" ht="12.75" customHeight="1">
      <c r="A110" s="41" t="s">
        <v>1606</v>
      </c>
      <c r="B110" s="25" t="s">
        <v>1607</v>
      </c>
      <c r="C110" s="136">
        <v>750000</v>
      </c>
      <c r="D110" s="136">
        <v>1000000</v>
      </c>
      <c r="E110" s="136">
        <v>1500000</v>
      </c>
      <c r="F110" s="136">
        <v>2000000</v>
      </c>
      <c r="G110" s="136">
        <v>2500000</v>
      </c>
      <c r="H110" s="136">
        <v>3000000</v>
      </c>
      <c r="I110" s="333">
        <v>360</v>
      </c>
      <c r="K110" s="335">
        <v>0.8</v>
      </c>
      <c r="L110" s="433">
        <v>0.9</v>
      </c>
      <c r="M110" s="35" t="s">
        <v>330</v>
      </c>
    </row>
    <row r="111" spans="1:13" ht="12.75" customHeight="1">
      <c r="A111" s="18" t="s">
        <v>1416</v>
      </c>
      <c r="B111" s="18" t="s">
        <v>1417</v>
      </c>
      <c r="C111" s="136">
        <v>750000</v>
      </c>
      <c r="D111" s="136">
        <v>1000000</v>
      </c>
      <c r="E111" s="136">
        <v>1500000</v>
      </c>
      <c r="F111" s="136">
        <v>2000000</v>
      </c>
      <c r="G111" s="136">
        <v>2500000</v>
      </c>
      <c r="H111" s="136">
        <v>3000000</v>
      </c>
      <c r="I111" s="333">
        <v>360</v>
      </c>
      <c r="J111" s="19"/>
      <c r="K111" s="335">
        <v>0.8</v>
      </c>
      <c r="L111" s="665">
        <v>0.9</v>
      </c>
      <c r="M111" s="35" t="s">
        <v>330</v>
      </c>
    </row>
    <row r="112" spans="1:13" ht="12.75" customHeight="1">
      <c r="A112" s="18" t="s">
        <v>151</v>
      </c>
      <c r="B112" s="18" t="s">
        <v>152</v>
      </c>
      <c r="C112" s="136">
        <v>750000</v>
      </c>
      <c r="D112" s="136">
        <v>1000000</v>
      </c>
      <c r="E112" s="136">
        <v>1500000</v>
      </c>
      <c r="F112" s="136">
        <v>2000000</v>
      </c>
      <c r="G112" s="136">
        <v>2500000</v>
      </c>
      <c r="H112" s="136">
        <v>3000000</v>
      </c>
      <c r="I112" s="333">
        <v>360</v>
      </c>
      <c r="J112" s="19"/>
      <c r="K112" s="335">
        <v>0.8</v>
      </c>
      <c r="L112" s="432"/>
      <c r="M112" s="35" t="s">
        <v>330</v>
      </c>
    </row>
    <row r="113" spans="1:13" ht="12.75" customHeight="1">
      <c r="A113" s="18" t="s">
        <v>1422</v>
      </c>
      <c r="B113" s="18" t="s">
        <v>1423</v>
      </c>
      <c r="C113" s="136">
        <v>750000</v>
      </c>
      <c r="D113" s="136">
        <v>1000000</v>
      </c>
      <c r="E113" s="136">
        <v>1500000</v>
      </c>
      <c r="F113" s="136">
        <v>2000000</v>
      </c>
      <c r="G113" s="136">
        <v>2500000</v>
      </c>
      <c r="H113" s="136">
        <v>3000000</v>
      </c>
      <c r="I113" s="333">
        <v>360</v>
      </c>
      <c r="J113" s="19"/>
      <c r="K113" s="335">
        <v>0.8</v>
      </c>
      <c r="L113" s="665">
        <v>0.95</v>
      </c>
      <c r="M113" s="35" t="s">
        <v>330</v>
      </c>
    </row>
    <row r="114" spans="1:13" ht="12.75" customHeight="1">
      <c r="A114" s="18" t="s">
        <v>153</v>
      </c>
      <c r="B114" s="18" t="s">
        <v>154</v>
      </c>
      <c r="C114" s="136">
        <v>750000</v>
      </c>
      <c r="D114" s="136">
        <v>1000000</v>
      </c>
      <c r="E114" s="136">
        <v>1500000</v>
      </c>
      <c r="F114" s="136">
        <v>2000000</v>
      </c>
      <c r="G114" s="136">
        <v>2500000</v>
      </c>
      <c r="H114" s="136">
        <v>3000000</v>
      </c>
      <c r="I114" s="333">
        <v>360</v>
      </c>
      <c r="K114" s="335">
        <v>0.8</v>
      </c>
      <c r="L114" s="433">
        <v>0.95</v>
      </c>
      <c r="M114" s="35" t="s">
        <v>330</v>
      </c>
    </row>
    <row r="115" spans="1:13" ht="12.75" customHeight="1">
      <c r="A115" s="18" t="s">
        <v>331</v>
      </c>
      <c r="B115" s="18" t="s">
        <v>332</v>
      </c>
      <c r="C115" s="136">
        <v>750000</v>
      </c>
      <c r="D115" s="136">
        <v>1000000</v>
      </c>
      <c r="E115" s="136">
        <v>1500000</v>
      </c>
      <c r="F115" s="136">
        <v>2000000</v>
      </c>
      <c r="G115" s="136">
        <v>2500000</v>
      </c>
      <c r="H115" s="136">
        <v>3000000</v>
      </c>
      <c r="I115" s="333">
        <v>360</v>
      </c>
      <c r="K115" s="335">
        <v>0.8</v>
      </c>
      <c r="L115" s="433">
        <v>0.95</v>
      </c>
      <c r="M115" s="35" t="s">
        <v>330</v>
      </c>
    </row>
    <row r="116" spans="1:13" ht="12.75" customHeight="1">
      <c r="A116" s="18" t="s">
        <v>155</v>
      </c>
      <c r="B116" s="18" t="s">
        <v>156</v>
      </c>
      <c r="C116" s="136">
        <v>750000</v>
      </c>
      <c r="D116" s="136">
        <v>1000000</v>
      </c>
      <c r="E116" s="136">
        <v>1500000</v>
      </c>
      <c r="F116" s="136">
        <v>2000000</v>
      </c>
      <c r="G116" s="136">
        <v>2500000</v>
      </c>
      <c r="H116" s="136">
        <v>3000000</v>
      </c>
      <c r="I116" s="333">
        <v>360</v>
      </c>
      <c r="K116" s="335">
        <v>0.8</v>
      </c>
      <c r="L116" s="433">
        <v>0.95</v>
      </c>
      <c r="M116" s="35" t="s">
        <v>330</v>
      </c>
    </row>
    <row r="117" spans="1:13" ht="12.75" customHeight="1">
      <c r="A117" s="18" t="s">
        <v>333</v>
      </c>
      <c r="B117" s="18" t="s">
        <v>334</v>
      </c>
      <c r="C117" s="136">
        <v>750000</v>
      </c>
      <c r="D117" s="136">
        <v>1000000</v>
      </c>
      <c r="E117" s="136">
        <v>1500000</v>
      </c>
      <c r="F117" s="136">
        <v>2000000</v>
      </c>
      <c r="G117" s="136">
        <v>2500000</v>
      </c>
      <c r="H117" s="136">
        <v>3000000</v>
      </c>
      <c r="I117" s="333">
        <v>360</v>
      </c>
      <c r="K117" s="335">
        <v>0.8</v>
      </c>
      <c r="L117" s="433">
        <v>0.95</v>
      </c>
      <c r="M117" s="35" t="s">
        <v>330</v>
      </c>
    </row>
    <row r="118" spans="1:13" ht="12.75" customHeight="1">
      <c r="A118" s="25" t="s">
        <v>157</v>
      </c>
      <c r="B118" s="25" t="s">
        <v>158</v>
      </c>
      <c r="C118" s="136">
        <v>750000</v>
      </c>
      <c r="D118" s="136">
        <v>1000000</v>
      </c>
      <c r="E118" s="136">
        <v>1500000</v>
      </c>
      <c r="F118" s="136">
        <v>2000000</v>
      </c>
      <c r="G118" s="136">
        <v>2500000</v>
      </c>
      <c r="H118" s="136">
        <v>3000000</v>
      </c>
      <c r="I118" s="333">
        <v>360</v>
      </c>
      <c r="K118" s="335">
        <v>0.8</v>
      </c>
      <c r="L118" s="433">
        <v>0.95</v>
      </c>
      <c r="M118" s="35" t="s">
        <v>330</v>
      </c>
    </row>
    <row r="119" spans="1:13" ht="12.75" customHeight="1">
      <c r="A119" s="25" t="s">
        <v>335</v>
      </c>
      <c r="B119" s="25" t="s">
        <v>336</v>
      </c>
      <c r="C119" s="136">
        <v>750000</v>
      </c>
      <c r="D119" s="136">
        <v>1000000</v>
      </c>
      <c r="E119" s="136">
        <v>1500000</v>
      </c>
      <c r="F119" s="136">
        <v>2000000</v>
      </c>
      <c r="G119" s="136">
        <v>2500000</v>
      </c>
      <c r="H119" s="136">
        <v>3000000</v>
      </c>
      <c r="I119" s="333">
        <v>360</v>
      </c>
      <c r="K119" s="335">
        <v>0.8</v>
      </c>
      <c r="L119" s="433">
        <v>0.95</v>
      </c>
      <c r="M119" s="35" t="s">
        <v>330</v>
      </c>
    </row>
    <row r="120" spans="1:13" ht="12.75" customHeight="1">
      <c r="A120" s="25" t="s">
        <v>159</v>
      </c>
      <c r="B120" s="25" t="s">
        <v>160</v>
      </c>
      <c r="C120" s="136">
        <v>750000</v>
      </c>
      <c r="D120" s="136">
        <v>1000000</v>
      </c>
      <c r="E120" s="136">
        <v>1500000</v>
      </c>
      <c r="F120" s="136">
        <v>2000000</v>
      </c>
      <c r="G120" s="136">
        <v>2500000</v>
      </c>
      <c r="H120" s="136">
        <v>3000000</v>
      </c>
      <c r="I120" s="333">
        <v>360</v>
      </c>
      <c r="K120" s="335">
        <v>0.8</v>
      </c>
      <c r="L120" s="433">
        <v>0.95</v>
      </c>
      <c r="M120" s="35" t="s">
        <v>330</v>
      </c>
    </row>
    <row r="121" spans="1:13" ht="12.75" customHeight="1">
      <c r="A121" s="25" t="s">
        <v>161</v>
      </c>
      <c r="B121" s="25" t="s">
        <v>162</v>
      </c>
      <c r="C121" s="136">
        <v>750000</v>
      </c>
      <c r="D121" s="136">
        <v>1000000</v>
      </c>
      <c r="E121" s="136">
        <v>1500000</v>
      </c>
      <c r="F121" s="136">
        <v>2000000</v>
      </c>
      <c r="G121" s="136">
        <v>2500000</v>
      </c>
      <c r="H121" s="136">
        <v>3000000</v>
      </c>
      <c r="I121" s="333">
        <v>360</v>
      </c>
      <c r="K121" s="335">
        <v>0.8</v>
      </c>
      <c r="L121" s="433">
        <v>0.95</v>
      </c>
      <c r="M121" s="35" t="s">
        <v>330</v>
      </c>
    </row>
    <row r="122" spans="1:13" ht="12.75" customHeight="1">
      <c r="A122" s="25" t="s">
        <v>163</v>
      </c>
      <c r="B122" s="25" t="s">
        <v>164</v>
      </c>
      <c r="C122" s="136">
        <v>750000</v>
      </c>
      <c r="D122" s="136">
        <v>1000000</v>
      </c>
      <c r="E122" s="136">
        <v>1500000</v>
      </c>
      <c r="F122" s="136">
        <v>2000000</v>
      </c>
      <c r="G122" s="136">
        <v>2500000</v>
      </c>
      <c r="H122" s="136">
        <v>3000000</v>
      </c>
      <c r="I122" s="333">
        <v>360</v>
      </c>
      <c r="K122" s="335">
        <v>0.8</v>
      </c>
      <c r="L122" s="433">
        <v>0.95</v>
      </c>
      <c r="M122" s="35" t="s">
        <v>330</v>
      </c>
    </row>
    <row r="123" spans="1:13" ht="12.75" customHeight="1">
      <c r="A123" s="25" t="s">
        <v>1418</v>
      </c>
      <c r="B123" s="25" t="s">
        <v>166</v>
      </c>
      <c r="C123" s="136">
        <v>750000</v>
      </c>
      <c r="D123" s="136">
        <v>1000000</v>
      </c>
      <c r="E123" s="136">
        <v>1500000</v>
      </c>
      <c r="F123" s="136">
        <v>2000000</v>
      </c>
      <c r="G123" s="136">
        <v>2500000</v>
      </c>
      <c r="H123" s="136">
        <v>3000000</v>
      </c>
      <c r="I123" s="333">
        <v>360</v>
      </c>
      <c r="K123" s="336">
        <v>0.8</v>
      </c>
      <c r="L123" s="665">
        <v>0.9</v>
      </c>
      <c r="M123" s="35" t="s">
        <v>330</v>
      </c>
    </row>
    <row r="124" spans="1:13" ht="12.75" customHeight="1">
      <c r="A124" s="25" t="s">
        <v>1419</v>
      </c>
      <c r="B124" s="25" t="s">
        <v>1429</v>
      </c>
      <c r="C124" s="136">
        <v>750000</v>
      </c>
      <c r="D124" s="136">
        <v>1000000</v>
      </c>
      <c r="E124" s="136">
        <v>1500000</v>
      </c>
      <c r="F124" s="136">
        <v>2000000</v>
      </c>
      <c r="G124" s="136">
        <v>2500000</v>
      </c>
      <c r="H124" s="136">
        <v>3000000</v>
      </c>
      <c r="I124" s="333">
        <v>360</v>
      </c>
      <c r="K124" s="336">
        <v>0.8</v>
      </c>
      <c r="L124" s="665">
        <v>0.9</v>
      </c>
      <c r="M124" s="35" t="s">
        <v>330</v>
      </c>
    </row>
    <row r="125" spans="1:13" ht="12.75" customHeight="1">
      <c r="A125" s="25" t="s">
        <v>165</v>
      </c>
      <c r="B125" s="25" t="s">
        <v>166</v>
      </c>
      <c r="C125" s="136">
        <v>750000</v>
      </c>
      <c r="D125" s="136">
        <v>1000000</v>
      </c>
      <c r="E125" s="136">
        <v>1500000</v>
      </c>
      <c r="F125" s="136">
        <v>2000000</v>
      </c>
      <c r="G125" s="136">
        <v>2500000</v>
      </c>
      <c r="H125" s="136">
        <v>3000000</v>
      </c>
      <c r="I125" s="333">
        <v>360</v>
      </c>
      <c r="K125" s="336">
        <v>0.8</v>
      </c>
      <c r="L125" s="432"/>
      <c r="M125" s="35" t="s">
        <v>330</v>
      </c>
    </row>
    <row r="126" spans="1:13" ht="12.75" customHeight="1">
      <c r="A126" s="25" t="s">
        <v>167</v>
      </c>
      <c r="B126" s="25" t="s">
        <v>168</v>
      </c>
      <c r="C126" s="136">
        <v>750000</v>
      </c>
      <c r="D126" s="136">
        <v>1000000</v>
      </c>
      <c r="E126" s="136">
        <v>1500000</v>
      </c>
      <c r="F126" s="136">
        <v>2000000</v>
      </c>
      <c r="G126" s="136">
        <v>2500000</v>
      </c>
      <c r="H126" s="136">
        <v>3000000</v>
      </c>
      <c r="I126" s="333">
        <v>360</v>
      </c>
      <c r="K126" s="336">
        <v>0.8</v>
      </c>
      <c r="L126" s="432"/>
      <c r="M126" s="35" t="s">
        <v>330</v>
      </c>
    </row>
    <row r="127" spans="1:13" ht="12.75" customHeight="1">
      <c r="A127" s="18" t="s">
        <v>169</v>
      </c>
      <c r="B127" s="18" t="s">
        <v>170</v>
      </c>
      <c r="C127" s="136">
        <v>750000</v>
      </c>
      <c r="D127" s="136">
        <v>1000000</v>
      </c>
      <c r="E127" s="136">
        <v>1500000</v>
      </c>
      <c r="F127" s="136">
        <v>2000000</v>
      </c>
      <c r="G127" s="136">
        <v>2500000</v>
      </c>
      <c r="H127" s="136">
        <v>3000000</v>
      </c>
      <c r="I127" s="333">
        <v>360</v>
      </c>
      <c r="K127" s="335">
        <v>0.8</v>
      </c>
      <c r="L127" s="433">
        <v>0.9</v>
      </c>
      <c r="M127" s="35" t="s">
        <v>330</v>
      </c>
    </row>
    <row r="128" spans="1:13" ht="12.75" customHeight="1">
      <c r="A128" s="18" t="s">
        <v>171</v>
      </c>
      <c r="B128" s="18" t="s">
        <v>172</v>
      </c>
      <c r="C128" s="136">
        <v>750000</v>
      </c>
      <c r="D128" s="136">
        <v>1000000</v>
      </c>
      <c r="E128" s="136">
        <v>1500000</v>
      </c>
      <c r="F128" s="136">
        <v>2000000</v>
      </c>
      <c r="G128" s="136">
        <v>2500000</v>
      </c>
      <c r="H128" s="136">
        <v>3000000</v>
      </c>
      <c r="I128" s="333">
        <v>360</v>
      </c>
      <c r="K128" s="335">
        <v>0.8</v>
      </c>
      <c r="L128" s="433">
        <v>0.9</v>
      </c>
      <c r="M128" s="35" t="s">
        <v>330</v>
      </c>
    </row>
    <row r="129" spans="1:13" ht="12.75" customHeight="1">
      <c r="A129" s="25" t="s">
        <v>173</v>
      </c>
      <c r="B129" s="25" t="s">
        <v>174</v>
      </c>
      <c r="C129" s="136">
        <v>750000</v>
      </c>
      <c r="D129" s="136">
        <v>1000000</v>
      </c>
      <c r="E129" s="136">
        <v>1500000</v>
      </c>
      <c r="F129" s="136">
        <v>2000000</v>
      </c>
      <c r="G129" s="136">
        <v>2500000</v>
      </c>
      <c r="H129" s="136">
        <v>3000000</v>
      </c>
      <c r="I129" s="333">
        <v>360</v>
      </c>
      <c r="K129" s="335">
        <v>0.8</v>
      </c>
      <c r="L129" s="433">
        <v>0.9</v>
      </c>
      <c r="M129" s="35" t="s">
        <v>330</v>
      </c>
    </row>
    <row r="130" spans="1:13" ht="12.75" customHeight="1">
      <c r="A130" s="25" t="s">
        <v>175</v>
      </c>
      <c r="B130" s="25" t="s">
        <v>176</v>
      </c>
      <c r="C130" s="136">
        <v>750000</v>
      </c>
      <c r="D130" s="136">
        <v>1000000</v>
      </c>
      <c r="E130" s="136">
        <v>1500000</v>
      </c>
      <c r="F130" s="136">
        <v>2000000</v>
      </c>
      <c r="G130" s="136">
        <v>2500000</v>
      </c>
      <c r="H130" s="136">
        <v>3000000</v>
      </c>
      <c r="I130" s="333">
        <v>360</v>
      </c>
      <c r="K130" s="335">
        <v>0.8</v>
      </c>
      <c r="L130" s="433">
        <v>0.9</v>
      </c>
      <c r="M130" s="35" t="s">
        <v>330</v>
      </c>
    </row>
    <row r="131" spans="1:13" ht="12.75" customHeight="1">
      <c r="A131" s="25" t="s">
        <v>177</v>
      </c>
      <c r="B131" s="25" t="s">
        <v>178</v>
      </c>
      <c r="C131" s="136">
        <v>750000</v>
      </c>
      <c r="D131" s="136">
        <v>1000000</v>
      </c>
      <c r="E131" s="136">
        <v>1500000</v>
      </c>
      <c r="F131" s="136">
        <v>2000000</v>
      </c>
      <c r="G131" s="136">
        <v>2500000</v>
      </c>
      <c r="H131" s="136">
        <v>3000000</v>
      </c>
      <c r="I131" s="333">
        <v>360</v>
      </c>
      <c r="K131" s="335">
        <v>0.8</v>
      </c>
      <c r="L131" s="433">
        <v>0.9</v>
      </c>
      <c r="M131" s="35" t="s">
        <v>330</v>
      </c>
    </row>
    <row r="132" spans="1:13" ht="12.75" customHeight="1">
      <c r="A132" s="25" t="s">
        <v>179</v>
      </c>
      <c r="B132" s="25" t="s">
        <v>180</v>
      </c>
      <c r="C132" s="136">
        <v>750000</v>
      </c>
      <c r="D132" s="136">
        <v>1000000</v>
      </c>
      <c r="E132" s="136">
        <v>1500000</v>
      </c>
      <c r="F132" s="136">
        <v>2000000</v>
      </c>
      <c r="G132" s="136">
        <v>2500000</v>
      </c>
      <c r="H132" s="136">
        <v>3000000</v>
      </c>
      <c r="I132" s="333">
        <v>360</v>
      </c>
      <c r="K132" s="335">
        <v>0.8</v>
      </c>
      <c r="L132" s="433">
        <v>0.9</v>
      </c>
      <c r="M132" s="35" t="s">
        <v>330</v>
      </c>
    </row>
    <row r="133" spans="1:13" ht="12.75" customHeight="1">
      <c r="A133" s="25" t="s">
        <v>181</v>
      </c>
      <c r="B133" s="25" t="s">
        <v>182</v>
      </c>
      <c r="C133" s="136">
        <v>750000</v>
      </c>
      <c r="D133" s="136">
        <v>1000000</v>
      </c>
      <c r="E133" s="136">
        <v>1500000</v>
      </c>
      <c r="F133" s="136">
        <v>2000000</v>
      </c>
      <c r="G133" s="136">
        <v>2500000</v>
      </c>
      <c r="H133" s="136">
        <v>3000000</v>
      </c>
      <c r="I133" s="333">
        <v>360</v>
      </c>
      <c r="K133" s="335">
        <v>0.8</v>
      </c>
      <c r="L133" s="433">
        <v>0.9</v>
      </c>
      <c r="M133" s="35" t="s">
        <v>330</v>
      </c>
    </row>
    <row r="134" spans="1:13" ht="12.75" customHeight="1">
      <c r="A134" s="25" t="s">
        <v>183</v>
      </c>
      <c r="B134" s="25" t="s">
        <v>184</v>
      </c>
      <c r="C134" s="136">
        <v>750000</v>
      </c>
      <c r="D134" s="136">
        <v>1000000</v>
      </c>
      <c r="E134" s="136">
        <v>1500000</v>
      </c>
      <c r="F134" s="136">
        <v>2000000</v>
      </c>
      <c r="G134" s="136">
        <v>2500000</v>
      </c>
      <c r="H134" s="136">
        <v>3000000</v>
      </c>
      <c r="I134" s="333">
        <v>360</v>
      </c>
      <c r="K134" s="335">
        <v>0.8</v>
      </c>
      <c r="L134" s="433">
        <v>0.9</v>
      </c>
      <c r="M134" s="35" t="s">
        <v>330</v>
      </c>
    </row>
    <row r="135" spans="1:13" ht="12.75" customHeight="1">
      <c r="A135" s="25" t="s">
        <v>185</v>
      </c>
      <c r="B135" s="25" t="s">
        <v>186</v>
      </c>
      <c r="C135" s="136">
        <v>750000</v>
      </c>
      <c r="D135" s="136">
        <v>1000000</v>
      </c>
      <c r="E135" s="136">
        <v>1500000</v>
      </c>
      <c r="F135" s="136">
        <v>2000000</v>
      </c>
      <c r="G135" s="136">
        <v>2500000</v>
      </c>
      <c r="H135" s="136">
        <v>3000000</v>
      </c>
      <c r="I135" s="333">
        <v>360</v>
      </c>
      <c r="K135" s="335">
        <v>0.8</v>
      </c>
      <c r="L135" s="433">
        <v>0.9</v>
      </c>
      <c r="M135" s="35" t="s">
        <v>330</v>
      </c>
    </row>
    <row r="136" spans="1:13" ht="12.75" customHeight="1">
      <c r="A136" s="25" t="s">
        <v>187</v>
      </c>
      <c r="B136" s="25" t="s">
        <v>188</v>
      </c>
      <c r="C136" s="136">
        <v>750000</v>
      </c>
      <c r="D136" s="136">
        <v>1000000</v>
      </c>
      <c r="E136" s="136">
        <v>1500000</v>
      </c>
      <c r="F136" s="136">
        <v>2000000</v>
      </c>
      <c r="G136" s="136">
        <v>2500000</v>
      </c>
      <c r="H136" s="136">
        <v>3000000</v>
      </c>
      <c r="I136" s="333">
        <v>360</v>
      </c>
      <c r="K136" s="335">
        <v>0.8</v>
      </c>
      <c r="L136" s="433">
        <v>0.9</v>
      </c>
      <c r="M136" s="35" t="s">
        <v>330</v>
      </c>
    </row>
    <row r="137" spans="1:13" ht="12.75" customHeight="1">
      <c r="A137" s="25" t="s">
        <v>189</v>
      </c>
      <c r="B137" s="25" t="s">
        <v>190</v>
      </c>
      <c r="C137" s="136">
        <v>750000</v>
      </c>
      <c r="D137" s="136">
        <v>1000000</v>
      </c>
      <c r="E137" s="136">
        <v>1500000</v>
      </c>
      <c r="F137" s="136">
        <v>2000000</v>
      </c>
      <c r="G137" s="136">
        <v>2500000</v>
      </c>
      <c r="H137" s="136">
        <v>3000000</v>
      </c>
      <c r="I137" s="333">
        <v>360</v>
      </c>
      <c r="K137" s="335">
        <v>0.8</v>
      </c>
      <c r="L137" s="433">
        <v>0.9</v>
      </c>
      <c r="M137" s="35" t="s">
        <v>330</v>
      </c>
    </row>
    <row r="138" spans="1:13" ht="12.6" customHeight="1">
      <c r="A138" s="25" t="s">
        <v>191</v>
      </c>
      <c r="B138" s="25" t="s">
        <v>192</v>
      </c>
      <c r="C138" s="136">
        <v>750000</v>
      </c>
      <c r="D138" s="136">
        <v>1000000</v>
      </c>
      <c r="E138" s="136">
        <v>1500000</v>
      </c>
      <c r="F138" s="136">
        <v>2000000</v>
      </c>
      <c r="G138" s="136">
        <v>2500000</v>
      </c>
      <c r="H138" s="136">
        <v>3000000</v>
      </c>
      <c r="I138" s="35">
        <v>360</v>
      </c>
      <c r="K138" s="25" t="s">
        <v>1441</v>
      </c>
      <c r="L138" s="433">
        <v>0.9</v>
      </c>
      <c r="M138" s="35" t="s">
        <v>330</v>
      </c>
    </row>
    <row r="139" spans="1:13" ht="12.75" customHeight="1">
      <c r="A139" s="25" t="s">
        <v>193</v>
      </c>
      <c r="B139" s="25"/>
      <c r="C139" s="136">
        <v>750000</v>
      </c>
      <c r="D139" s="136">
        <v>1000000</v>
      </c>
      <c r="E139" s="136">
        <v>1500000</v>
      </c>
      <c r="F139" s="136">
        <v>2000000</v>
      </c>
      <c r="G139" s="136">
        <v>2500000</v>
      </c>
      <c r="H139" s="136">
        <v>3000000</v>
      </c>
      <c r="K139" s="25"/>
    </row>
    <row r="140" spans="1:13" ht="12.75" customHeight="1">
      <c r="A140" s="25" t="s">
        <v>337</v>
      </c>
      <c r="B140" s="25"/>
      <c r="C140" s="417">
        <v>1</v>
      </c>
      <c r="D140" s="417">
        <v>1</v>
      </c>
      <c r="E140" s="417">
        <v>1</v>
      </c>
      <c r="F140" s="417">
        <v>1</v>
      </c>
      <c r="G140" s="417">
        <v>1</v>
      </c>
      <c r="J140" s="25"/>
    </row>
    <row r="141" spans="1:13" ht="12.75" customHeight="1">
      <c r="A141" s="25" t="s">
        <v>338</v>
      </c>
      <c r="B141" s="25"/>
      <c r="C141" s="417">
        <v>1</v>
      </c>
      <c r="D141" s="417">
        <v>1</v>
      </c>
      <c r="E141" s="417">
        <v>1</v>
      </c>
      <c r="F141" s="417">
        <v>1</v>
      </c>
      <c r="G141" s="417">
        <v>1</v>
      </c>
      <c r="J141" s="25"/>
    </row>
    <row r="142" spans="1:13" ht="12.75" customHeight="1">
      <c r="A142" s="25"/>
      <c r="B142" s="25"/>
      <c r="C142" s="30" t="e">
        <f>+VLOOKUP(Worksheet!$D$24,Delegations,12,FALSE)</f>
        <v>#N/A</v>
      </c>
      <c r="D142" s="30" t="e">
        <f>+VLOOKUP(Worksheet!$D$24,Delegations,12,FALSE)</f>
        <v>#N/A</v>
      </c>
      <c r="E142" s="30" t="e">
        <f>+VLOOKUP(Worksheet!$D$24,Delegations,12,FALSE)</f>
        <v>#N/A</v>
      </c>
      <c r="F142" s="30" t="e">
        <f>+VLOOKUP(Worksheet!$D$24,Delegations,12,FALSE)</f>
        <v>#N/A</v>
      </c>
      <c r="G142" s="30" t="e">
        <f>+VLOOKUP(Worksheet!$D$24,Delegations,12,FALSE)</f>
        <v>#N/A</v>
      </c>
      <c r="J142" s="25"/>
    </row>
    <row r="143" spans="1:13" ht="12.75" customHeight="1">
      <c r="A143" s="25" t="s">
        <v>194</v>
      </c>
      <c r="B143" s="25"/>
      <c r="C143" s="24" t="e">
        <f>+IF(C142="PL",C140,C141)</f>
        <v>#N/A</v>
      </c>
      <c r="D143" s="24" t="e">
        <f t="shared" ref="D143:G143" si="0">+IF(D142="PL",D140,D141)</f>
        <v>#N/A</v>
      </c>
      <c r="E143" s="24" t="e">
        <f t="shared" si="0"/>
        <v>#N/A</v>
      </c>
      <c r="F143" s="24" t="e">
        <f t="shared" si="0"/>
        <v>#N/A</v>
      </c>
      <c r="G143" s="24" t="e">
        <f t="shared" si="0"/>
        <v>#N/A</v>
      </c>
      <c r="J143" s="25"/>
    </row>
    <row r="144" spans="1:13" ht="12.75" customHeight="1">
      <c r="A144" s="25" t="s">
        <v>1456</v>
      </c>
      <c r="B144" s="25"/>
      <c r="C144" s="417">
        <v>0</v>
      </c>
      <c r="D144" s="417">
        <v>0</v>
      </c>
      <c r="E144" s="417">
        <v>0</v>
      </c>
      <c r="F144" s="417">
        <v>0.98</v>
      </c>
      <c r="G144" s="417">
        <v>0.98</v>
      </c>
      <c r="J144" s="25"/>
    </row>
    <row r="145" spans="1:16" ht="12.75" customHeight="1">
      <c r="A145" s="25" t="s">
        <v>305</v>
      </c>
      <c r="B145" s="25"/>
      <c r="C145" s="417">
        <v>0</v>
      </c>
      <c r="D145" s="417">
        <v>0</v>
      </c>
      <c r="E145" s="417">
        <v>0</v>
      </c>
      <c r="F145" s="417">
        <v>0</v>
      </c>
      <c r="G145" s="417">
        <v>0.95</v>
      </c>
      <c r="J145" s="25"/>
    </row>
    <row r="146" spans="1:16" ht="12.75" customHeight="1">
      <c r="A146" s="25" t="s">
        <v>339</v>
      </c>
      <c r="B146" s="25"/>
      <c r="C146" s="418">
        <v>12</v>
      </c>
      <c r="D146" s="418">
        <v>12</v>
      </c>
      <c r="E146" s="418">
        <v>12</v>
      </c>
      <c r="F146" s="418">
        <v>12</v>
      </c>
      <c r="G146" s="418">
        <v>12</v>
      </c>
      <c r="J146" s="25"/>
    </row>
    <row r="147" spans="1:16" ht="12.75" customHeight="1">
      <c r="A147" s="25" t="s">
        <v>340</v>
      </c>
      <c r="B147" s="25"/>
      <c r="C147" s="598">
        <v>4.99</v>
      </c>
      <c r="D147" s="598">
        <v>5.99</v>
      </c>
      <c r="E147" s="598">
        <v>6.49</v>
      </c>
      <c r="F147" s="598">
        <v>6.99</v>
      </c>
      <c r="G147" s="598">
        <v>7.99</v>
      </c>
      <c r="H147" s="599"/>
      <c r="J147" s="25"/>
    </row>
    <row r="148" spans="1:16" ht="12.75" customHeight="1">
      <c r="A148" s="25" t="s">
        <v>119</v>
      </c>
      <c r="B148" s="25"/>
      <c r="C148" s="681" t="e">
        <f>+IF(C149="HL","HL","PL")</f>
        <v>#N/A</v>
      </c>
      <c r="D148" s="681" t="e">
        <f t="shared" ref="D148" si="1">+IF(D142="HL",D147,D146)</f>
        <v>#N/A</v>
      </c>
      <c r="E148" s="681" t="e">
        <f>+IF(C149="HL","HL","PL")</f>
        <v>#N/A</v>
      </c>
      <c r="F148" s="681" t="e">
        <f>+IF(C149="HL","HL","PL")</f>
        <v>#N/A</v>
      </c>
      <c r="G148" s="681" t="e">
        <f>+IF(C149="HL","HL","PL")</f>
        <v>#N/A</v>
      </c>
      <c r="J148" s="25"/>
    </row>
    <row r="149" spans="1:16" ht="12.75" customHeight="1">
      <c r="A149" s="37" t="s">
        <v>380</v>
      </c>
      <c r="C149" s="35" t="e">
        <f>+VLOOKUP(Worksheet!$D$24,$A$30:$M$138,13,FALSE)</f>
        <v>#N/A</v>
      </c>
      <c r="D149" s="35" t="e">
        <f>+VLOOKUP(Worksheet!$D$24,$A$30:$M$138,13,FALSE)</f>
        <v>#N/A</v>
      </c>
      <c r="E149" s="35" t="e">
        <f>+VLOOKUP(Worksheet!$D$24,$A$30:$M$138,13,FALSE)</f>
        <v>#N/A</v>
      </c>
      <c r="F149" s="35" t="e">
        <f>+VLOOKUP(Worksheet!$D$24,$A$30:$M$138,13,FALSE)</f>
        <v>#N/A</v>
      </c>
      <c r="G149" s="35" t="e">
        <f>+VLOOKUP(Worksheet!$D$24,$A$30:$M$138,13,FALSE)</f>
        <v>#N/A</v>
      </c>
      <c r="J149" s="25"/>
    </row>
    <row r="150" spans="1:16" ht="12.75" customHeight="1">
      <c r="A150" s="37" t="s">
        <v>195</v>
      </c>
      <c r="C150" s="402" t="s">
        <v>196</v>
      </c>
      <c r="D150" s="110" t="s">
        <v>42</v>
      </c>
      <c r="E150" s="110" t="s">
        <v>341</v>
      </c>
      <c r="F150" s="660" t="s">
        <v>197</v>
      </c>
      <c r="G150" s="660" t="s">
        <v>1420</v>
      </c>
      <c r="H150" s="660" t="s">
        <v>1421</v>
      </c>
      <c r="I150" s="669" t="s">
        <v>1451</v>
      </c>
    </row>
    <row r="151" spans="1:16" ht="12.75" customHeight="1">
      <c r="A151" s="37" t="s">
        <v>58</v>
      </c>
      <c r="C151" s="403">
        <v>0.03</v>
      </c>
      <c r="D151" s="403">
        <v>0.03</v>
      </c>
      <c r="E151" s="434">
        <v>2E-3</v>
      </c>
      <c r="F151" s="661">
        <v>4.0000000000000001E-3</v>
      </c>
      <c r="G151" s="661">
        <v>-4.4999999999999997E-3</v>
      </c>
      <c r="H151" s="661">
        <v>-1.5E-3</v>
      </c>
      <c r="I151" s="661">
        <v>-5.4999999999999997E-3</v>
      </c>
    </row>
    <row r="152" spans="1:16" ht="12.75" customHeight="1">
      <c r="A152" s="37" t="s">
        <v>198</v>
      </c>
      <c r="C152" s="403">
        <v>5.5E-2</v>
      </c>
      <c r="D152" s="404">
        <v>7.4999999999999997E-2</v>
      </c>
      <c r="I152" s="25"/>
    </row>
    <row r="153" spans="1:16" ht="12.75" customHeight="1">
      <c r="A153" s="37" t="s">
        <v>199</v>
      </c>
      <c r="C153" s="405">
        <v>0.03</v>
      </c>
      <c r="D153" s="405">
        <v>0.04</v>
      </c>
      <c r="I153" s="25"/>
    </row>
    <row r="154" spans="1:16" ht="12.75" customHeight="1">
      <c r="C154" s="107"/>
      <c r="D154" s="107"/>
      <c r="I154" s="25"/>
    </row>
    <row r="155" spans="1:16" ht="12.75" customHeight="1">
      <c r="C155" s="107"/>
      <c r="D155" s="107"/>
    </row>
    <row r="156" spans="1:16" ht="12.75" customHeight="1">
      <c r="D156" s="35" t="s">
        <v>61</v>
      </c>
      <c r="E156" s="35" t="s">
        <v>42</v>
      </c>
      <c r="F156" s="35" t="s">
        <v>342</v>
      </c>
      <c r="I156" s="25"/>
      <c r="P156" s="36"/>
    </row>
    <row r="157" spans="1:16" ht="12.75" customHeight="1">
      <c r="A157" s="20" t="s">
        <v>201</v>
      </c>
      <c r="B157" s="20"/>
      <c r="C157" s="26" t="s">
        <v>202</v>
      </c>
      <c r="D157" s="107">
        <f>+C151</f>
        <v>0.03</v>
      </c>
      <c r="E157" s="107">
        <f>+D151</f>
        <v>0.03</v>
      </c>
      <c r="F157" s="35" t="s">
        <v>342</v>
      </c>
      <c r="I157" s="25"/>
      <c r="P157" s="36"/>
    </row>
    <row r="158" spans="1:16" ht="12.75" customHeight="1">
      <c r="A158" s="25" t="s">
        <v>315</v>
      </c>
      <c r="B158" s="25" t="s">
        <v>316</v>
      </c>
      <c r="C158" s="142">
        <v>0.13739999999999999</v>
      </c>
      <c r="D158" s="107">
        <f t="shared" ref="D158:D164" si="2">+C158</f>
        <v>0.13739999999999999</v>
      </c>
      <c r="E158" s="107">
        <f>+C158</f>
        <v>0.13739999999999999</v>
      </c>
      <c r="F158" s="35" t="s">
        <v>342</v>
      </c>
      <c r="I158" s="25"/>
      <c r="P158" s="36"/>
    </row>
    <row r="159" spans="1:16" ht="12.75" customHeight="1">
      <c r="A159" s="25" t="s">
        <v>319</v>
      </c>
      <c r="B159" s="25" t="s">
        <v>316</v>
      </c>
      <c r="C159" s="142">
        <v>0.13739999999999999</v>
      </c>
      <c r="D159" s="107">
        <f t="shared" si="2"/>
        <v>0.13739999999999999</v>
      </c>
      <c r="E159" s="107">
        <f t="shared" ref="E159:E164" si="3">+C159</f>
        <v>0.13739999999999999</v>
      </c>
      <c r="F159" s="35" t="s">
        <v>342</v>
      </c>
      <c r="I159" s="25"/>
      <c r="P159" s="36"/>
    </row>
    <row r="160" spans="1:16" ht="12.75" customHeight="1">
      <c r="A160" s="25" t="s">
        <v>321</v>
      </c>
      <c r="B160" s="25" t="s">
        <v>322</v>
      </c>
      <c r="C160" s="142">
        <v>7.9899999999999999E-2</v>
      </c>
      <c r="D160" s="107">
        <f t="shared" si="2"/>
        <v>7.9899999999999999E-2</v>
      </c>
      <c r="E160" s="107">
        <f t="shared" si="3"/>
        <v>7.9899999999999999E-2</v>
      </c>
      <c r="F160" s="35" t="s">
        <v>342</v>
      </c>
      <c r="I160" s="25"/>
      <c r="P160" s="36"/>
    </row>
    <row r="161" spans="1:17" ht="12.75" customHeight="1">
      <c r="A161" s="25" t="s">
        <v>323</v>
      </c>
      <c r="B161" s="25" t="s">
        <v>324</v>
      </c>
      <c r="C161" s="142">
        <v>5.9900000000000002E-2</v>
      </c>
      <c r="D161" s="107">
        <f t="shared" si="2"/>
        <v>5.9900000000000002E-2</v>
      </c>
      <c r="E161" s="107">
        <f t="shared" si="3"/>
        <v>5.9900000000000002E-2</v>
      </c>
      <c r="F161" s="35" t="s">
        <v>342</v>
      </c>
      <c r="I161" s="25"/>
      <c r="P161" s="36"/>
    </row>
    <row r="162" spans="1:17" ht="12.75" customHeight="1">
      <c r="A162" s="25" t="s">
        <v>325</v>
      </c>
      <c r="B162" s="25" t="s">
        <v>326</v>
      </c>
      <c r="C162" s="142">
        <v>5.8900000000000001E-2</v>
      </c>
      <c r="D162" s="107">
        <f t="shared" si="2"/>
        <v>5.8900000000000001E-2</v>
      </c>
      <c r="E162" s="107">
        <f t="shared" si="3"/>
        <v>5.8900000000000001E-2</v>
      </c>
      <c r="I162" s="25"/>
      <c r="P162" s="36"/>
    </row>
    <row r="163" spans="1:17" ht="12.75" customHeight="1">
      <c r="A163" s="25" t="s">
        <v>69</v>
      </c>
      <c r="B163" s="25" t="s">
        <v>327</v>
      </c>
      <c r="C163" s="142">
        <v>0.12989999999999999</v>
      </c>
      <c r="D163" s="107">
        <f t="shared" si="2"/>
        <v>0.12989999999999999</v>
      </c>
      <c r="E163" s="107">
        <f t="shared" si="3"/>
        <v>0.12989999999999999</v>
      </c>
      <c r="F163" s="35" t="s">
        <v>342</v>
      </c>
      <c r="I163" s="25"/>
      <c r="P163" s="36" t="s">
        <v>343</v>
      </c>
    </row>
    <row r="164" spans="1:17" ht="12.75" customHeight="1">
      <c r="A164" s="25" t="s">
        <v>328</v>
      </c>
      <c r="B164" s="25" t="s">
        <v>329</v>
      </c>
      <c r="C164" s="142">
        <v>0.1229</v>
      </c>
      <c r="D164" s="107">
        <f t="shared" si="2"/>
        <v>0.1229</v>
      </c>
      <c r="E164" s="107">
        <f t="shared" si="3"/>
        <v>0.1229</v>
      </c>
      <c r="F164" s="35" t="s">
        <v>342</v>
      </c>
      <c r="I164" s="25"/>
    </row>
    <row r="165" spans="1:17" ht="12.75" customHeight="1">
      <c r="A165" s="41" t="s">
        <v>1460</v>
      </c>
      <c r="B165" s="25" t="s">
        <v>1461</v>
      </c>
      <c r="C165" s="435">
        <v>5.2400000000000002E-2</v>
      </c>
      <c r="D165" s="107">
        <f>+MAX($C$152,P165)</f>
        <v>8.2400000000000001E-2</v>
      </c>
      <c r="E165" s="107">
        <f>+MAX($D$152,P165)</f>
        <v>8.2400000000000001E-2</v>
      </c>
      <c r="I165" s="25"/>
      <c r="P165" s="36">
        <f t="shared" ref="P165:P170" si="4">+C165+$C$151</f>
        <v>8.2400000000000001E-2</v>
      </c>
      <c r="Q165" s="36">
        <f>+D165-C165</f>
        <v>0.03</v>
      </c>
    </row>
    <row r="166" spans="1:17" ht="12.75" customHeight="1">
      <c r="A166" s="41" t="s">
        <v>1462</v>
      </c>
      <c r="B166" s="25" t="s">
        <v>1463</v>
      </c>
      <c r="C166" s="435">
        <v>5.3900000000000003E-2</v>
      </c>
      <c r="D166" s="107">
        <f>+MAX($D$152,P166)</f>
        <v>8.3900000000000002E-2</v>
      </c>
      <c r="E166" s="107">
        <f>+MAX($D$152,P166)</f>
        <v>8.3900000000000002E-2</v>
      </c>
      <c r="I166" s="25"/>
      <c r="P166" s="36">
        <f t="shared" si="4"/>
        <v>8.3900000000000002E-2</v>
      </c>
      <c r="Q166" s="36">
        <f>+D166-C166</f>
        <v>0.03</v>
      </c>
    </row>
    <row r="167" spans="1:17" ht="12.75" customHeight="1">
      <c r="A167" s="41" t="s">
        <v>1464</v>
      </c>
      <c r="B167" s="25" t="s">
        <v>1465</v>
      </c>
      <c r="C167" s="435">
        <v>5.4899999999999997E-2</v>
      </c>
      <c r="D167" s="107">
        <f>+MAX($D$152,P167)</f>
        <v>8.4900000000000003E-2</v>
      </c>
      <c r="E167" s="107">
        <f>+MAX($D$152,P167)</f>
        <v>8.4900000000000003E-2</v>
      </c>
      <c r="I167" s="25"/>
      <c r="P167" s="36">
        <f t="shared" si="4"/>
        <v>8.4900000000000003E-2</v>
      </c>
      <c r="Q167" s="36">
        <f t="shared" ref="Q167:Q230" si="5">+D167-C167</f>
        <v>3.0000000000000006E-2</v>
      </c>
    </row>
    <row r="168" spans="1:17" ht="12.75" customHeight="1">
      <c r="A168" s="41" t="s">
        <v>1466</v>
      </c>
      <c r="B168" s="25" t="s">
        <v>1467</v>
      </c>
      <c r="C168" s="435">
        <v>5.2400000000000002E-2</v>
      </c>
      <c r="D168" s="107">
        <f t="shared" ref="D168:D231" si="6">+MAX($C$152,P168)</f>
        <v>8.2400000000000001E-2</v>
      </c>
      <c r="E168" s="107">
        <f t="shared" ref="E168:E169" si="7">+MAX($D$152,P168)</f>
        <v>8.2400000000000001E-2</v>
      </c>
      <c r="F168" s="35" t="s">
        <v>206</v>
      </c>
      <c r="I168" s="25"/>
      <c r="P168" s="36">
        <f t="shared" si="4"/>
        <v>8.2400000000000001E-2</v>
      </c>
      <c r="Q168" s="36">
        <f t="shared" si="5"/>
        <v>0.03</v>
      </c>
    </row>
    <row r="169" spans="1:17" ht="12.75" customHeight="1">
      <c r="A169" s="41" t="s">
        <v>1468</v>
      </c>
      <c r="B169" s="25" t="s">
        <v>1469</v>
      </c>
      <c r="C169" s="435">
        <v>5.3900000000000003E-2</v>
      </c>
      <c r="D169" s="107">
        <f>+MAX($D$152,P169)</f>
        <v>8.3900000000000002E-2</v>
      </c>
      <c r="E169" s="107">
        <f t="shared" si="7"/>
        <v>8.3900000000000002E-2</v>
      </c>
      <c r="F169" s="35" t="s">
        <v>206</v>
      </c>
      <c r="I169" s="25"/>
      <c r="P169" s="36">
        <f t="shared" si="4"/>
        <v>8.3900000000000002E-2</v>
      </c>
      <c r="Q169" s="36">
        <f t="shared" si="5"/>
        <v>0.03</v>
      </c>
    </row>
    <row r="170" spans="1:17" ht="12.75" customHeight="1">
      <c r="A170" s="41" t="s">
        <v>1470</v>
      </c>
      <c r="B170" s="25" t="s">
        <v>1471</v>
      </c>
      <c r="C170" s="435">
        <v>5.4899999999999997E-2</v>
      </c>
      <c r="D170" s="107">
        <f>+MAX($D$152,P170)</f>
        <v>8.4900000000000003E-2</v>
      </c>
      <c r="E170" s="107">
        <f>+MAX($D$152,P170)</f>
        <v>8.4900000000000003E-2</v>
      </c>
      <c r="F170" s="35" t="s">
        <v>206</v>
      </c>
      <c r="I170" s="25"/>
      <c r="P170" s="36">
        <f t="shared" si="4"/>
        <v>8.4900000000000003E-2</v>
      </c>
      <c r="Q170" s="36">
        <f t="shared" si="5"/>
        <v>3.0000000000000006E-2</v>
      </c>
    </row>
    <row r="171" spans="1:17" ht="12.75" customHeight="1">
      <c r="A171" s="41" t="s">
        <v>1472</v>
      </c>
      <c r="B171" s="25" t="s">
        <v>1473</v>
      </c>
      <c r="C171" s="435">
        <v>5.1400000000000001E-2</v>
      </c>
      <c r="D171" s="107">
        <f t="shared" ref="D171:D173" si="8">+MAX($C$152,P171)</f>
        <v>8.2400000000000001E-2</v>
      </c>
      <c r="E171" s="107">
        <f t="shared" ref="E171:E172" si="9">+MAX($D$152,P171)</f>
        <v>8.2400000000000001E-2</v>
      </c>
      <c r="I171" s="25"/>
      <c r="P171" s="701">
        <f>+C176+$C$151</f>
        <v>8.2400000000000001E-2</v>
      </c>
      <c r="Q171" s="36">
        <f t="shared" si="5"/>
        <v>3.1E-2</v>
      </c>
    </row>
    <row r="172" spans="1:17" ht="12.75" customHeight="1">
      <c r="A172" s="41" t="s">
        <v>1474</v>
      </c>
      <c r="B172" s="25" t="s">
        <v>1475</v>
      </c>
      <c r="C172" s="435">
        <v>5.1400000000000001E-2</v>
      </c>
      <c r="D172" s="107">
        <f t="shared" si="8"/>
        <v>8.2400000000000001E-2</v>
      </c>
      <c r="E172" s="107">
        <f t="shared" si="9"/>
        <v>8.2400000000000001E-2</v>
      </c>
      <c r="F172" s="35" t="s">
        <v>206</v>
      </c>
      <c r="I172" s="25"/>
      <c r="P172" s="701">
        <f>+C176+$C$151</f>
        <v>8.2400000000000001E-2</v>
      </c>
      <c r="Q172" s="36">
        <f t="shared" si="5"/>
        <v>3.1E-2</v>
      </c>
    </row>
    <row r="173" spans="1:17" ht="12.75" customHeight="1">
      <c r="A173" s="41" t="s">
        <v>1476</v>
      </c>
      <c r="B173" s="25" t="s">
        <v>1477</v>
      </c>
      <c r="C173" s="435">
        <v>4.99E-2</v>
      </c>
      <c r="D173" s="107">
        <f t="shared" si="8"/>
        <v>8.2400000000000001E-2</v>
      </c>
      <c r="E173" s="107">
        <f>+MAX($D$152,P173)</f>
        <v>8.2400000000000001E-2</v>
      </c>
      <c r="I173" s="25"/>
      <c r="P173" s="701">
        <f>+C176+$C$151</f>
        <v>8.2400000000000001E-2</v>
      </c>
      <c r="Q173" s="36">
        <f t="shared" si="5"/>
        <v>3.2500000000000001E-2</v>
      </c>
    </row>
    <row r="174" spans="1:17" ht="12.75" customHeight="1">
      <c r="A174" s="41" t="s">
        <v>1478</v>
      </c>
      <c r="B174" s="25" t="s">
        <v>1479</v>
      </c>
      <c r="C174" s="435">
        <v>5.04E-2</v>
      </c>
      <c r="D174" s="107">
        <f t="shared" si="6"/>
        <v>8.2400000000000001E-2</v>
      </c>
      <c r="E174" s="107">
        <f t="shared" ref="E174:E175" si="10">+MAX($D$152,P174)</f>
        <v>8.2400000000000001E-2</v>
      </c>
      <c r="I174" s="25"/>
      <c r="P174" s="701">
        <f>+C176+$C$151</f>
        <v>8.2400000000000001E-2</v>
      </c>
      <c r="Q174" s="36">
        <f t="shared" si="5"/>
        <v>3.2000000000000001E-2</v>
      </c>
    </row>
    <row r="175" spans="1:17" ht="12.75" customHeight="1">
      <c r="A175" s="41" t="s">
        <v>1480</v>
      </c>
      <c r="B175" s="25" t="s">
        <v>1481</v>
      </c>
      <c r="C175" s="435">
        <v>5.2900000000000003E-2</v>
      </c>
      <c r="D175" s="107">
        <f t="shared" si="6"/>
        <v>8.2400000000000001E-2</v>
      </c>
      <c r="E175" s="107">
        <f t="shared" si="10"/>
        <v>8.2400000000000001E-2</v>
      </c>
      <c r="I175" s="25"/>
      <c r="P175" s="701">
        <f>+C176+$C$151</f>
        <v>8.2400000000000001E-2</v>
      </c>
      <c r="Q175" s="36">
        <f t="shared" si="5"/>
        <v>2.9499999999999998E-2</v>
      </c>
    </row>
    <row r="176" spans="1:17" ht="12.75" customHeight="1">
      <c r="A176" s="41" t="s">
        <v>1482</v>
      </c>
      <c r="B176" s="25" t="s">
        <v>1483</v>
      </c>
      <c r="C176" s="435">
        <v>5.2400000000000002E-2</v>
      </c>
      <c r="D176" s="107">
        <f t="shared" si="6"/>
        <v>8.2400000000000001E-2</v>
      </c>
      <c r="E176" s="107">
        <f>+MAX($D$152,P176)</f>
        <v>8.2400000000000001E-2</v>
      </c>
      <c r="I176" s="25"/>
      <c r="P176" s="701">
        <f>+C176+$C$151</f>
        <v>8.2400000000000001E-2</v>
      </c>
      <c r="Q176" s="36">
        <f t="shared" si="5"/>
        <v>0.03</v>
      </c>
    </row>
    <row r="177" spans="1:17" ht="12.75" customHeight="1">
      <c r="A177" s="41" t="s">
        <v>1484</v>
      </c>
      <c r="B177" s="25" t="s">
        <v>1485</v>
      </c>
      <c r="C177" s="435">
        <v>5.3900000000000003E-2</v>
      </c>
      <c r="D177" s="107">
        <f t="shared" si="6"/>
        <v>8.3900000000000002E-2</v>
      </c>
      <c r="E177" s="107">
        <f t="shared" ref="E177:E178" si="11">+MAX($D$152,P177)</f>
        <v>8.3900000000000002E-2</v>
      </c>
      <c r="I177" s="25"/>
      <c r="P177" s="36">
        <f>+C177+$C$151</f>
        <v>8.3900000000000002E-2</v>
      </c>
      <c r="Q177" s="36">
        <f t="shared" si="5"/>
        <v>0.03</v>
      </c>
    </row>
    <row r="178" spans="1:17" ht="12.75" customHeight="1">
      <c r="A178" s="41" t="s">
        <v>1486</v>
      </c>
      <c r="B178" s="25" t="s">
        <v>1487</v>
      </c>
      <c r="C178" s="435">
        <v>5.4899999999999997E-2</v>
      </c>
      <c r="D178" s="107">
        <f>+MAX($D$152,P178)</f>
        <v>8.4900000000000003E-2</v>
      </c>
      <c r="E178" s="107">
        <f t="shared" si="11"/>
        <v>8.4900000000000003E-2</v>
      </c>
      <c r="I178" s="25"/>
      <c r="P178" s="36">
        <f>+C178+$C$151</f>
        <v>8.4900000000000003E-2</v>
      </c>
      <c r="Q178" s="36">
        <f t="shared" si="5"/>
        <v>3.0000000000000006E-2</v>
      </c>
    </row>
    <row r="179" spans="1:17" ht="12.75" customHeight="1">
      <c r="A179" s="41" t="s">
        <v>1488</v>
      </c>
      <c r="B179" s="25" t="s">
        <v>1489</v>
      </c>
      <c r="C179" s="435">
        <v>5.5899999999999998E-2</v>
      </c>
      <c r="D179" s="107">
        <f t="shared" si="6"/>
        <v>8.3900000000000002E-2</v>
      </c>
      <c r="E179" s="107">
        <f>+MAX($D$152,P179)</f>
        <v>8.3900000000000002E-2</v>
      </c>
      <c r="F179" s="35" t="s">
        <v>206</v>
      </c>
      <c r="I179" s="25"/>
      <c r="P179" s="36">
        <f>+(C179-0.2%)+$C$151</f>
        <v>8.3900000000000002E-2</v>
      </c>
      <c r="Q179" s="36">
        <f t="shared" si="5"/>
        <v>2.8000000000000004E-2</v>
      </c>
    </row>
    <row r="180" spans="1:17" ht="12.75" customHeight="1">
      <c r="A180" s="41" t="s">
        <v>1490</v>
      </c>
      <c r="B180" s="25" t="s">
        <v>1491</v>
      </c>
      <c r="C180" s="435">
        <v>5.6899999999999999E-2</v>
      </c>
      <c r="D180" s="107">
        <f>+MAX($D$152,P180)</f>
        <v>8.4900000000000003E-2</v>
      </c>
      <c r="E180" s="107">
        <f t="shared" ref="E180:E181" si="12">+MAX($D$152,P180)</f>
        <v>8.4900000000000003E-2</v>
      </c>
      <c r="F180" s="35" t="s">
        <v>206</v>
      </c>
      <c r="I180" s="25"/>
      <c r="P180" s="36">
        <f>+(C180-0.2%)+$C$151</f>
        <v>8.4900000000000003E-2</v>
      </c>
      <c r="Q180" s="36">
        <f t="shared" si="5"/>
        <v>2.8000000000000004E-2</v>
      </c>
    </row>
    <row r="181" spans="1:17" ht="12.75" customHeight="1">
      <c r="A181" s="41" t="s">
        <v>1492</v>
      </c>
      <c r="B181" s="25" t="s">
        <v>1493</v>
      </c>
      <c r="C181" s="435">
        <v>5.2900000000000003E-2</v>
      </c>
      <c r="D181" s="107">
        <f t="shared" si="6"/>
        <v>8.3900000000000002E-2</v>
      </c>
      <c r="E181" s="107">
        <f t="shared" si="12"/>
        <v>8.3900000000000002E-2</v>
      </c>
      <c r="I181" s="25"/>
      <c r="P181" s="701">
        <f>+C189+$C$151</f>
        <v>8.3900000000000002E-2</v>
      </c>
      <c r="Q181" s="36">
        <f t="shared" si="5"/>
        <v>3.1E-2</v>
      </c>
    </row>
    <row r="182" spans="1:17" ht="12.75" customHeight="1">
      <c r="A182" s="41" t="s">
        <v>1494</v>
      </c>
      <c r="B182" s="25" t="s">
        <v>1495</v>
      </c>
      <c r="C182" s="435">
        <v>5.1400000000000001E-2</v>
      </c>
      <c r="D182" s="107">
        <f t="shared" si="6"/>
        <v>8.3900000000000002E-2</v>
      </c>
      <c r="E182" s="107">
        <f>+MAX($D$152,P182)</f>
        <v>8.3900000000000002E-2</v>
      </c>
      <c r="I182" s="25"/>
      <c r="P182" s="701">
        <f>+C189+$C$151</f>
        <v>8.3900000000000002E-2</v>
      </c>
      <c r="Q182" s="36">
        <f t="shared" si="5"/>
        <v>3.2500000000000001E-2</v>
      </c>
    </row>
    <row r="183" spans="1:17" ht="12.75" customHeight="1">
      <c r="A183" s="41" t="s">
        <v>1496</v>
      </c>
      <c r="B183" s="25" t="s">
        <v>1497</v>
      </c>
      <c r="C183" s="435">
        <v>5.1900000000000002E-2</v>
      </c>
      <c r="D183" s="107">
        <f t="shared" si="6"/>
        <v>8.3900000000000002E-2</v>
      </c>
      <c r="E183" s="107">
        <f t="shared" ref="E183:E184" si="13">+MAX($D$152,P183)</f>
        <v>8.3900000000000002E-2</v>
      </c>
      <c r="I183" s="25"/>
      <c r="P183" s="701">
        <f>+C189+$C$151</f>
        <v>8.3900000000000002E-2</v>
      </c>
      <c r="Q183" s="36">
        <f t="shared" si="5"/>
        <v>3.2000000000000001E-2</v>
      </c>
    </row>
    <row r="184" spans="1:17" ht="12.75" customHeight="1">
      <c r="A184" s="41" t="s">
        <v>1498</v>
      </c>
      <c r="B184" s="25" t="s">
        <v>1499</v>
      </c>
      <c r="C184" s="435">
        <v>5.4399999999999997E-2</v>
      </c>
      <c r="D184" s="107">
        <f t="shared" si="6"/>
        <v>8.3900000000000002E-2</v>
      </c>
      <c r="E184" s="107">
        <f t="shared" si="13"/>
        <v>8.3900000000000002E-2</v>
      </c>
      <c r="I184" s="25"/>
      <c r="P184" s="701">
        <f>+C189+$C$151</f>
        <v>8.3900000000000002E-2</v>
      </c>
      <c r="Q184" s="36">
        <f t="shared" si="5"/>
        <v>2.9500000000000005E-2</v>
      </c>
    </row>
    <row r="185" spans="1:17" ht="12.75" customHeight="1">
      <c r="A185" s="41" t="s">
        <v>1500</v>
      </c>
      <c r="B185" s="25" t="s">
        <v>1501</v>
      </c>
      <c r="C185" s="435">
        <v>5.4899999999999997E-2</v>
      </c>
      <c r="D185" s="107">
        <f t="shared" si="6"/>
        <v>8.3900000000000002E-2</v>
      </c>
      <c r="E185" s="107">
        <f>+MAX($D$152,P185)</f>
        <v>8.3900000000000002E-2</v>
      </c>
      <c r="F185" s="35" t="s">
        <v>206</v>
      </c>
      <c r="I185" s="25"/>
      <c r="P185" s="701">
        <f>+C189+$C$151</f>
        <v>8.3900000000000002E-2</v>
      </c>
      <c r="Q185" s="36">
        <f t="shared" si="5"/>
        <v>2.9000000000000005E-2</v>
      </c>
    </row>
    <row r="186" spans="1:17" ht="12.75" customHeight="1">
      <c r="A186" s="41" t="s">
        <v>1502</v>
      </c>
      <c r="B186" s="25" t="s">
        <v>1503</v>
      </c>
      <c r="C186" s="435">
        <v>5.3400000000000003E-2</v>
      </c>
      <c r="D186" s="107">
        <f t="shared" si="6"/>
        <v>8.3900000000000002E-2</v>
      </c>
      <c r="E186" s="107">
        <f t="shared" ref="E186:E187" si="14">+MAX($D$152,P186)</f>
        <v>8.3900000000000002E-2</v>
      </c>
      <c r="F186" s="35" t="s">
        <v>206</v>
      </c>
      <c r="I186" s="25"/>
      <c r="P186" s="701">
        <f>+C189+$C$151</f>
        <v>8.3900000000000002E-2</v>
      </c>
      <c r="Q186" s="36">
        <f t="shared" si="5"/>
        <v>3.0499999999999999E-2</v>
      </c>
    </row>
    <row r="187" spans="1:17" ht="12.75" customHeight="1">
      <c r="A187" s="41" t="s">
        <v>1504</v>
      </c>
      <c r="B187" s="25" t="s">
        <v>1505</v>
      </c>
      <c r="C187" s="435">
        <v>5.3900000000000003E-2</v>
      </c>
      <c r="D187" s="107">
        <f t="shared" si="6"/>
        <v>8.3900000000000002E-2</v>
      </c>
      <c r="E187" s="107">
        <f t="shared" si="14"/>
        <v>8.3900000000000002E-2</v>
      </c>
      <c r="F187" s="35" t="s">
        <v>206</v>
      </c>
      <c r="I187" s="25"/>
      <c r="P187" s="701">
        <f>+C189+$C$151</f>
        <v>8.3900000000000002E-2</v>
      </c>
      <c r="Q187" s="36">
        <f t="shared" si="5"/>
        <v>0.03</v>
      </c>
    </row>
    <row r="188" spans="1:17" ht="12.75" customHeight="1">
      <c r="A188" s="41" t="s">
        <v>1506</v>
      </c>
      <c r="B188" s="25" t="s">
        <v>1507</v>
      </c>
      <c r="C188" s="435">
        <v>5.6399999999999999E-2</v>
      </c>
      <c r="D188" s="107">
        <f t="shared" si="6"/>
        <v>8.3900000000000002E-2</v>
      </c>
      <c r="E188" s="107">
        <f>+MAX($D$152,P188)</f>
        <v>8.3900000000000002E-2</v>
      </c>
      <c r="F188" s="35" t="s">
        <v>206</v>
      </c>
      <c r="I188" s="25"/>
      <c r="P188" s="701">
        <f>+C189+$C$151</f>
        <v>8.3900000000000002E-2</v>
      </c>
      <c r="Q188" s="36">
        <f t="shared" si="5"/>
        <v>2.7500000000000004E-2</v>
      </c>
    </row>
    <row r="189" spans="1:17" ht="12.75" customHeight="1">
      <c r="A189" s="41" t="s">
        <v>1508</v>
      </c>
      <c r="B189" s="25" t="s">
        <v>1509</v>
      </c>
      <c r="C189" s="435">
        <v>5.3900000000000003E-2</v>
      </c>
      <c r="D189" s="107">
        <f t="shared" si="6"/>
        <v>8.3900000000000002E-2</v>
      </c>
      <c r="E189" s="107">
        <f t="shared" ref="E189:E190" si="15">+MAX($D$152,P189)</f>
        <v>8.3900000000000002E-2</v>
      </c>
      <c r="I189" s="25"/>
      <c r="P189" s="36">
        <f t="shared" ref="P189:P238" si="16">+C189+$C$151</f>
        <v>8.3900000000000002E-2</v>
      </c>
      <c r="Q189" s="36">
        <f t="shared" si="5"/>
        <v>0.03</v>
      </c>
    </row>
    <row r="190" spans="1:17" ht="12.75" customHeight="1">
      <c r="A190" s="41" t="s">
        <v>1510</v>
      </c>
      <c r="B190" s="25" t="s">
        <v>1511</v>
      </c>
      <c r="C190" s="435">
        <v>5.3400000000000003E-2</v>
      </c>
      <c r="D190" s="107">
        <f t="shared" si="6"/>
        <v>8.3400000000000002E-2</v>
      </c>
      <c r="E190" s="107">
        <f t="shared" si="15"/>
        <v>8.3400000000000002E-2</v>
      </c>
      <c r="I190" s="25"/>
      <c r="P190" s="36">
        <f t="shared" si="16"/>
        <v>8.3400000000000002E-2</v>
      </c>
      <c r="Q190" s="36">
        <f t="shared" si="5"/>
        <v>0.03</v>
      </c>
    </row>
    <row r="191" spans="1:17" ht="12.75" customHeight="1">
      <c r="A191" s="41" t="s">
        <v>1512</v>
      </c>
      <c r="B191" s="25" t="s">
        <v>1513</v>
      </c>
      <c r="C191" s="435">
        <v>5.4899999999999997E-2</v>
      </c>
      <c r="D191" s="107">
        <f>+MAX($D$152,P191)</f>
        <v>8.4900000000000003E-2</v>
      </c>
      <c r="E191" s="107">
        <f>+MAX($D$152,P191)</f>
        <v>8.4900000000000003E-2</v>
      </c>
      <c r="I191" s="25"/>
      <c r="P191" s="36">
        <f t="shared" si="16"/>
        <v>8.4900000000000003E-2</v>
      </c>
      <c r="Q191" s="36">
        <f t="shared" si="5"/>
        <v>3.0000000000000006E-2</v>
      </c>
    </row>
    <row r="192" spans="1:17" ht="12.75" customHeight="1">
      <c r="A192" s="41" t="s">
        <v>1514</v>
      </c>
      <c r="B192" s="25" t="s">
        <v>1515</v>
      </c>
      <c r="C192" s="435">
        <v>5.5899999999999998E-2</v>
      </c>
      <c r="D192" s="107">
        <f>+MAX($D$152,P192)</f>
        <v>8.5900000000000004E-2</v>
      </c>
      <c r="E192" s="107">
        <f t="shared" ref="E192:E193" si="17">+MAX($D$152,P192)</f>
        <v>8.5900000000000004E-2</v>
      </c>
      <c r="I192" s="25"/>
      <c r="P192" s="36">
        <f t="shared" si="16"/>
        <v>8.5900000000000004E-2</v>
      </c>
      <c r="Q192" s="36">
        <f t="shared" si="5"/>
        <v>3.0000000000000006E-2</v>
      </c>
    </row>
    <row r="193" spans="1:17" ht="12.75" customHeight="1">
      <c r="A193" s="41" t="s">
        <v>1516</v>
      </c>
      <c r="B193" s="25" t="s">
        <v>1517</v>
      </c>
      <c r="C193" s="435">
        <v>5.3400000000000003E-2</v>
      </c>
      <c r="D193" s="107">
        <f t="shared" si="6"/>
        <v>8.3400000000000002E-2</v>
      </c>
      <c r="E193" s="107">
        <f t="shared" si="17"/>
        <v>8.3400000000000002E-2</v>
      </c>
      <c r="F193" s="35" t="s">
        <v>206</v>
      </c>
      <c r="I193" s="25"/>
      <c r="P193" s="36">
        <f t="shared" si="16"/>
        <v>8.3400000000000002E-2</v>
      </c>
      <c r="Q193" s="36">
        <f t="shared" si="5"/>
        <v>0.03</v>
      </c>
    </row>
    <row r="194" spans="1:17" ht="12.75" customHeight="1">
      <c r="A194" s="41" t="s">
        <v>1518</v>
      </c>
      <c r="B194" s="25" t="s">
        <v>1519</v>
      </c>
      <c r="C194" s="435">
        <v>5.4899999999999997E-2</v>
      </c>
      <c r="D194" s="107">
        <f>+MAX($D$152,P194)</f>
        <v>8.4900000000000003E-2</v>
      </c>
      <c r="E194" s="107">
        <f>+MAX($D$152,P194)</f>
        <v>8.4900000000000003E-2</v>
      </c>
      <c r="F194" s="35" t="s">
        <v>206</v>
      </c>
      <c r="I194" s="25"/>
      <c r="P194" s="36">
        <f t="shared" si="16"/>
        <v>8.4900000000000003E-2</v>
      </c>
      <c r="Q194" s="36">
        <f t="shared" si="5"/>
        <v>3.0000000000000006E-2</v>
      </c>
    </row>
    <row r="195" spans="1:17" ht="12.75" customHeight="1">
      <c r="A195" s="41" t="s">
        <v>1520</v>
      </c>
      <c r="B195" s="25" t="s">
        <v>1521</v>
      </c>
      <c r="C195" s="435">
        <v>5.5899999999999998E-2</v>
      </c>
      <c r="D195" s="107">
        <f>+MAX($D$152,P195)</f>
        <v>8.5900000000000004E-2</v>
      </c>
      <c r="E195" s="107">
        <f t="shared" ref="E195:E196" si="18">+MAX($D$152,P195)</f>
        <v>8.5900000000000004E-2</v>
      </c>
      <c r="F195" s="35" t="s">
        <v>206</v>
      </c>
      <c r="I195" s="25"/>
      <c r="P195" s="36">
        <f t="shared" si="16"/>
        <v>8.5900000000000004E-2</v>
      </c>
      <c r="Q195" s="36">
        <f t="shared" si="5"/>
        <v>3.0000000000000006E-2</v>
      </c>
    </row>
    <row r="196" spans="1:17" ht="12.75" customHeight="1">
      <c r="A196" s="41" t="s">
        <v>1522</v>
      </c>
      <c r="B196" s="25" t="s">
        <v>1523</v>
      </c>
      <c r="C196" s="435">
        <v>5.2400000000000002E-2</v>
      </c>
      <c r="D196" s="107">
        <f t="shared" si="6"/>
        <v>8.3400000000000002E-2</v>
      </c>
      <c r="E196" s="107">
        <f t="shared" si="18"/>
        <v>8.3400000000000002E-2</v>
      </c>
      <c r="I196" s="25"/>
      <c r="P196" s="701">
        <f>+C200+$C$151</f>
        <v>8.3400000000000002E-2</v>
      </c>
      <c r="Q196" s="36">
        <f t="shared" si="5"/>
        <v>3.1E-2</v>
      </c>
    </row>
    <row r="197" spans="1:17" ht="12.75" customHeight="1">
      <c r="A197" s="41" t="s">
        <v>1524</v>
      </c>
      <c r="B197" s="25" t="s">
        <v>1525</v>
      </c>
      <c r="C197" s="435">
        <v>5.0900000000000001E-2</v>
      </c>
      <c r="D197" s="107">
        <f t="shared" si="6"/>
        <v>8.3400000000000002E-2</v>
      </c>
      <c r="E197" s="107">
        <f>+MAX($D$152,P197)</f>
        <v>8.3400000000000002E-2</v>
      </c>
      <c r="I197" s="25"/>
      <c r="P197" s="701">
        <f>+C200+$C$151</f>
        <v>8.3400000000000002E-2</v>
      </c>
      <c r="Q197" s="36">
        <f t="shared" si="5"/>
        <v>3.2500000000000001E-2</v>
      </c>
    </row>
    <row r="198" spans="1:17" ht="12.75" customHeight="1">
      <c r="A198" s="41" t="s">
        <v>1526</v>
      </c>
      <c r="B198" s="25" t="s">
        <v>1527</v>
      </c>
      <c r="C198" s="435">
        <v>5.1400000000000001E-2</v>
      </c>
      <c r="D198" s="107">
        <f t="shared" si="6"/>
        <v>8.3400000000000002E-2</v>
      </c>
      <c r="E198" s="107">
        <f t="shared" ref="E198:E199" si="19">+MAX($D$152,P198)</f>
        <v>8.3400000000000002E-2</v>
      </c>
      <c r="I198" s="25"/>
      <c r="P198" s="701">
        <f>+C200+$C$151</f>
        <v>8.3400000000000002E-2</v>
      </c>
      <c r="Q198" s="36">
        <f t="shared" si="5"/>
        <v>3.2000000000000001E-2</v>
      </c>
    </row>
    <row r="199" spans="1:17" ht="12.75" customHeight="1">
      <c r="A199" s="41" t="s">
        <v>1528</v>
      </c>
      <c r="B199" s="25" t="s">
        <v>1529</v>
      </c>
      <c r="C199" s="435">
        <v>5.3900000000000003E-2</v>
      </c>
      <c r="D199" s="107">
        <f t="shared" si="6"/>
        <v>8.3400000000000002E-2</v>
      </c>
      <c r="E199" s="107">
        <f t="shared" si="19"/>
        <v>8.3400000000000002E-2</v>
      </c>
      <c r="I199" s="25"/>
      <c r="P199" s="701">
        <f>+C200+$C$151</f>
        <v>8.3400000000000002E-2</v>
      </c>
      <c r="Q199" s="36">
        <f t="shared" si="5"/>
        <v>2.9499999999999998E-2</v>
      </c>
    </row>
    <row r="200" spans="1:17" ht="12.75" customHeight="1">
      <c r="A200" s="41" t="s">
        <v>1530</v>
      </c>
      <c r="B200" s="25" t="s">
        <v>1531</v>
      </c>
      <c r="C200" s="435">
        <v>5.3400000000000003E-2</v>
      </c>
      <c r="D200" s="107">
        <f t="shared" si="6"/>
        <v>8.3400000000000002E-2</v>
      </c>
      <c r="E200" s="107">
        <f>+MAX($D$152,P200)</f>
        <v>8.3400000000000002E-2</v>
      </c>
      <c r="I200" s="25"/>
      <c r="P200" s="36">
        <f t="shared" si="16"/>
        <v>8.3400000000000002E-2</v>
      </c>
      <c r="Q200" s="36">
        <f t="shared" si="5"/>
        <v>0.03</v>
      </c>
    </row>
    <row r="201" spans="1:17" ht="12.75" customHeight="1">
      <c r="A201" s="41" t="s">
        <v>1532</v>
      </c>
      <c r="B201" s="25" t="s">
        <v>1533</v>
      </c>
      <c r="C201" s="435">
        <v>5.4899999999999997E-2</v>
      </c>
      <c r="D201" s="107">
        <f t="shared" si="6"/>
        <v>8.4900000000000003E-2</v>
      </c>
      <c r="E201" s="107">
        <f t="shared" ref="E201:E202" si="20">+MAX($D$152,P201)</f>
        <v>8.4900000000000003E-2</v>
      </c>
      <c r="I201" s="25"/>
      <c r="P201" s="36">
        <f t="shared" si="16"/>
        <v>8.4900000000000003E-2</v>
      </c>
      <c r="Q201" s="36">
        <f t="shared" si="5"/>
        <v>3.0000000000000006E-2</v>
      </c>
    </row>
    <row r="202" spans="1:17" ht="12.75" customHeight="1">
      <c r="A202" s="41" t="s">
        <v>1534</v>
      </c>
      <c r="B202" s="25" t="s">
        <v>1535</v>
      </c>
      <c r="C202" s="435">
        <v>5.5899999999999998E-2</v>
      </c>
      <c r="D202" s="107">
        <f>+MAX($D$152,P202)</f>
        <v>8.5900000000000004E-2</v>
      </c>
      <c r="E202" s="107">
        <f t="shared" si="20"/>
        <v>8.5900000000000004E-2</v>
      </c>
      <c r="I202" s="25"/>
      <c r="P202" s="36">
        <f t="shared" si="16"/>
        <v>8.5900000000000004E-2</v>
      </c>
      <c r="Q202" s="36">
        <f t="shared" si="5"/>
        <v>3.0000000000000006E-2</v>
      </c>
    </row>
    <row r="203" spans="1:17" ht="12.75" customHeight="1">
      <c r="A203" s="41" t="s">
        <v>1536</v>
      </c>
      <c r="B203" s="25" t="s">
        <v>1537</v>
      </c>
      <c r="C203" s="435">
        <v>5.6899999999999999E-2</v>
      </c>
      <c r="D203" s="107">
        <f t="shared" si="6"/>
        <v>8.4900000000000003E-2</v>
      </c>
      <c r="E203" s="107">
        <f>+MAX($D$152,P203)</f>
        <v>8.4900000000000003E-2</v>
      </c>
      <c r="F203" s="35" t="s">
        <v>206</v>
      </c>
      <c r="I203" s="25"/>
      <c r="P203" s="36">
        <f>+(C203-0.2%)+$C$151</f>
        <v>8.4900000000000003E-2</v>
      </c>
      <c r="Q203" s="36">
        <f t="shared" si="5"/>
        <v>2.8000000000000004E-2</v>
      </c>
    </row>
    <row r="204" spans="1:17" ht="12.75" customHeight="1">
      <c r="A204" s="41" t="s">
        <v>1538</v>
      </c>
      <c r="B204" s="25" t="s">
        <v>1539</v>
      </c>
      <c r="C204" s="435">
        <v>5.79E-2</v>
      </c>
      <c r="D204" s="107">
        <f>+MAX($D$152,P204)</f>
        <v>8.5900000000000004E-2</v>
      </c>
      <c r="E204" s="107">
        <f t="shared" ref="E204:E205" si="21">+MAX($D$152,P204)</f>
        <v>8.5900000000000004E-2</v>
      </c>
      <c r="F204" s="35" t="s">
        <v>206</v>
      </c>
      <c r="I204" s="25"/>
      <c r="P204" s="36">
        <f>+(C204-0.2%)+$C$151</f>
        <v>8.5900000000000004E-2</v>
      </c>
      <c r="Q204" s="36">
        <f t="shared" si="5"/>
        <v>2.8000000000000004E-2</v>
      </c>
    </row>
    <row r="205" spans="1:17" ht="12.75" customHeight="1">
      <c r="A205" s="41" t="s">
        <v>1540</v>
      </c>
      <c r="B205" s="25" t="s">
        <v>1541</v>
      </c>
      <c r="C205" s="435">
        <v>5.3900000000000003E-2</v>
      </c>
      <c r="D205" s="107">
        <f t="shared" si="6"/>
        <v>8.4900000000000003E-2</v>
      </c>
      <c r="E205" s="107">
        <f t="shared" si="21"/>
        <v>8.4900000000000003E-2</v>
      </c>
      <c r="I205" s="25"/>
      <c r="P205" s="701">
        <f>+C213+$C$151</f>
        <v>8.4900000000000003E-2</v>
      </c>
      <c r="Q205" s="36">
        <f t="shared" si="5"/>
        <v>3.1E-2</v>
      </c>
    </row>
    <row r="206" spans="1:17" ht="12.75" customHeight="1">
      <c r="A206" s="41" t="s">
        <v>1542</v>
      </c>
      <c r="B206" s="25" t="s">
        <v>1543</v>
      </c>
      <c r="C206" s="435">
        <v>5.2400000000000002E-2</v>
      </c>
      <c r="D206" s="107">
        <f t="shared" si="6"/>
        <v>8.4900000000000003E-2</v>
      </c>
      <c r="E206" s="107">
        <f>+MAX($D$152,P206)</f>
        <v>8.4900000000000003E-2</v>
      </c>
      <c r="I206" s="25"/>
      <c r="P206" s="701">
        <f>+C213+$C$151</f>
        <v>8.4900000000000003E-2</v>
      </c>
      <c r="Q206" s="36">
        <f t="shared" si="5"/>
        <v>3.2500000000000001E-2</v>
      </c>
    </row>
    <row r="207" spans="1:17" ht="12.75" customHeight="1">
      <c r="A207" s="41" t="s">
        <v>1544</v>
      </c>
      <c r="B207" s="25" t="s">
        <v>1545</v>
      </c>
      <c r="C207" s="435">
        <v>5.2900000000000003E-2</v>
      </c>
      <c r="D207" s="107">
        <f t="shared" si="6"/>
        <v>8.4900000000000003E-2</v>
      </c>
      <c r="E207" s="107">
        <f t="shared" ref="E207:E208" si="22">+MAX($D$152,P207)</f>
        <v>8.4900000000000003E-2</v>
      </c>
      <c r="I207" s="25"/>
      <c r="P207" s="701">
        <f>+C213+$C$151</f>
        <v>8.4900000000000003E-2</v>
      </c>
      <c r="Q207" s="36">
        <f t="shared" si="5"/>
        <v>3.2000000000000001E-2</v>
      </c>
    </row>
    <row r="208" spans="1:17" ht="12.75" customHeight="1">
      <c r="A208" s="41" t="s">
        <v>1546</v>
      </c>
      <c r="B208" s="25" t="s">
        <v>1547</v>
      </c>
      <c r="C208" s="435">
        <v>5.5399999999999998E-2</v>
      </c>
      <c r="D208" s="107">
        <f t="shared" si="6"/>
        <v>8.4900000000000003E-2</v>
      </c>
      <c r="E208" s="107">
        <f t="shared" si="22"/>
        <v>8.4900000000000003E-2</v>
      </c>
      <c r="I208" s="25"/>
      <c r="P208" s="701">
        <f>+C213+$C$151</f>
        <v>8.4900000000000003E-2</v>
      </c>
      <c r="Q208" s="36">
        <f t="shared" si="5"/>
        <v>2.9500000000000005E-2</v>
      </c>
    </row>
    <row r="209" spans="1:17" ht="12.75" customHeight="1">
      <c r="A209" s="41" t="s">
        <v>1548</v>
      </c>
      <c r="B209" s="25" t="s">
        <v>1549</v>
      </c>
      <c r="C209" s="435">
        <v>5.5899999999999998E-2</v>
      </c>
      <c r="D209" s="107">
        <f t="shared" si="6"/>
        <v>8.4900000000000003E-2</v>
      </c>
      <c r="E209" s="107">
        <f>+MAX($D$152,P209)</f>
        <v>8.4900000000000003E-2</v>
      </c>
      <c r="F209" s="35" t="s">
        <v>206</v>
      </c>
      <c r="I209" s="25"/>
      <c r="P209" s="701">
        <f>+C213+$C$151</f>
        <v>8.4900000000000003E-2</v>
      </c>
      <c r="Q209" s="36">
        <f t="shared" si="5"/>
        <v>2.9000000000000005E-2</v>
      </c>
    </row>
    <row r="210" spans="1:17" ht="12.75" customHeight="1">
      <c r="A210" s="41" t="s">
        <v>1550</v>
      </c>
      <c r="B210" s="25" t="s">
        <v>1551</v>
      </c>
      <c r="C210" s="435">
        <v>5.4399999999999997E-2</v>
      </c>
      <c r="D210" s="107">
        <f t="shared" si="6"/>
        <v>8.4900000000000003E-2</v>
      </c>
      <c r="E210" s="107">
        <f t="shared" ref="E210:E211" si="23">+MAX($D$152,P210)</f>
        <v>8.4900000000000003E-2</v>
      </c>
      <c r="F210" s="35" t="s">
        <v>206</v>
      </c>
      <c r="I210" s="25"/>
      <c r="P210" s="701">
        <f>+C213+$C$151</f>
        <v>8.4900000000000003E-2</v>
      </c>
      <c r="Q210" s="36">
        <f t="shared" si="5"/>
        <v>3.0500000000000006E-2</v>
      </c>
    </row>
    <row r="211" spans="1:17" ht="12.75" customHeight="1">
      <c r="A211" s="41" t="s">
        <v>1552</v>
      </c>
      <c r="B211" s="25" t="s">
        <v>1553</v>
      </c>
      <c r="C211" s="435">
        <v>5.4899999999999997E-2</v>
      </c>
      <c r="D211" s="107">
        <f t="shared" si="6"/>
        <v>8.4900000000000003E-2</v>
      </c>
      <c r="E211" s="107">
        <f t="shared" si="23"/>
        <v>8.4900000000000003E-2</v>
      </c>
      <c r="F211" s="35" t="s">
        <v>206</v>
      </c>
      <c r="I211" s="25"/>
      <c r="P211" s="701">
        <f>+C213+$C$151</f>
        <v>8.4900000000000003E-2</v>
      </c>
      <c r="Q211" s="36">
        <f t="shared" si="5"/>
        <v>3.0000000000000006E-2</v>
      </c>
    </row>
    <row r="212" spans="1:17" ht="12.75" customHeight="1">
      <c r="A212" s="41" t="s">
        <v>1554</v>
      </c>
      <c r="B212" s="25" t="s">
        <v>1555</v>
      </c>
      <c r="C212" s="435">
        <v>5.74E-2</v>
      </c>
      <c r="D212" s="107">
        <f t="shared" si="6"/>
        <v>8.4900000000000003E-2</v>
      </c>
      <c r="E212" s="107">
        <f>+MAX($D$152,P212)</f>
        <v>8.4900000000000003E-2</v>
      </c>
      <c r="F212" s="35" t="s">
        <v>206</v>
      </c>
      <c r="I212" s="25"/>
      <c r="P212" s="701">
        <f>+C213+$C$151</f>
        <v>8.4900000000000003E-2</v>
      </c>
      <c r="Q212" s="36">
        <f t="shared" si="5"/>
        <v>2.7500000000000004E-2</v>
      </c>
    </row>
    <row r="213" spans="1:17" ht="12.75" customHeight="1">
      <c r="A213" s="41" t="s">
        <v>1556</v>
      </c>
      <c r="B213" s="25" t="s">
        <v>1557</v>
      </c>
      <c r="C213" s="435">
        <v>5.4899999999999997E-2</v>
      </c>
      <c r="D213" s="107">
        <f t="shared" si="6"/>
        <v>8.4900000000000003E-2</v>
      </c>
      <c r="E213" s="107">
        <f t="shared" ref="E213:E214" si="24">+MAX($D$152,P213)</f>
        <v>8.4900000000000003E-2</v>
      </c>
      <c r="I213" s="25"/>
      <c r="P213" s="36">
        <f t="shared" si="16"/>
        <v>8.4900000000000003E-2</v>
      </c>
      <c r="Q213" s="36">
        <f t="shared" si="5"/>
        <v>3.0000000000000006E-2</v>
      </c>
    </row>
    <row r="214" spans="1:17" ht="12.75" customHeight="1">
      <c r="A214" s="41" t="s">
        <v>1558</v>
      </c>
      <c r="B214" s="25" t="s">
        <v>1559</v>
      </c>
      <c r="C214" s="435">
        <v>5.4399999999999997E-2</v>
      </c>
      <c r="D214" s="107">
        <f t="shared" si="6"/>
        <v>8.4400000000000003E-2</v>
      </c>
      <c r="E214" s="107">
        <f t="shared" si="24"/>
        <v>8.4400000000000003E-2</v>
      </c>
      <c r="I214" s="25"/>
      <c r="P214" s="36">
        <f t="shared" si="16"/>
        <v>8.4400000000000003E-2</v>
      </c>
      <c r="Q214" s="36">
        <f t="shared" si="5"/>
        <v>3.0000000000000006E-2</v>
      </c>
    </row>
    <row r="215" spans="1:17" ht="12.75" customHeight="1">
      <c r="A215" s="41" t="s">
        <v>1560</v>
      </c>
      <c r="B215" s="25" t="s">
        <v>1561</v>
      </c>
      <c r="C215" s="435">
        <v>5.5899999999999998E-2</v>
      </c>
      <c r="D215" s="107">
        <f>+MAX($D$152,P215)</f>
        <v>8.5900000000000004E-2</v>
      </c>
      <c r="E215" s="107">
        <f>+MAX($D$152,P215)</f>
        <v>8.5900000000000004E-2</v>
      </c>
      <c r="I215" s="25"/>
      <c r="P215" s="36">
        <f t="shared" si="16"/>
        <v>8.5900000000000004E-2</v>
      </c>
      <c r="Q215" s="36">
        <f t="shared" si="5"/>
        <v>3.0000000000000006E-2</v>
      </c>
    </row>
    <row r="216" spans="1:17" ht="12.75" customHeight="1">
      <c r="A216" s="41" t="s">
        <v>1562</v>
      </c>
      <c r="B216" s="25" t="s">
        <v>1563</v>
      </c>
      <c r="C216" s="435">
        <v>5.6899999999999999E-2</v>
      </c>
      <c r="D216" s="107">
        <f>+MAX($D$152,P216)</f>
        <v>8.6900000000000005E-2</v>
      </c>
      <c r="E216" s="107">
        <f t="shared" ref="E216:E217" si="25">+MAX($D$152,P216)</f>
        <v>8.6900000000000005E-2</v>
      </c>
      <c r="I216" s="25"/>
      <c r="P216" s="36">
        <f t="shared" si="16"/>
        <v>8.6900000000000005E-2</v>
      </c>
      <c r="Q216" s="36">
        <f t="shared" si="5"/>
        <v>3.0000000000000006E-2</v>
      </c>
    </row>
    <row r="217" spans="1:17" ht="12.75" customHeight="1">
      <c r="A217" s="41" t="s">
        <v>1564</v>
      </c>
      <c r="B217" s="25" t="s">
        <v>1565</v>
      </c>
      <c r="C217" s="435">
        <v>5.4399999999999997E-2</v>
      </c>
      <c r="D217" s="107">
        <f t="shared" si="6"/>
        <v>8.4400000000000003E-2</v>
      </c>
      <c r="E217" s="107">
        <f t="shared" si="25"/>
        <v>8.4400000000000003E-2</v>
      </c>
      <c r="F217" s="35" t="s">
        <v>206</v>
      </c>
      <c r="I217" s="25"/>
      <c r="P217" s="36">
        <f>+C217+$C$151</f>
        <v>8.4400000000000003E-2</v>
      </c>
      <c r="Q217" s="36">
        <f t="shared" si="5"/>
        <v>3.0000000000000006E-2</v>
      </c>
    </row>
    <row r="218" spans="1:17" ht="12.75" customHeight="1">
      <c r="A218" s="41" t="s">
        <v>1566</v>
      </c>
      <c r="B218" s="25" t="s">
        <v>1567</v>
      </c>
      <c r="C218" s="435">
        <v>5.5899999999999998E-2</v>
      </c>
      <c r="D218" s="107">
        <f>+MAX($D$152,P218)</f>
        <v>8.5900000000000004E-2</v>
      </c>
      <c r="E218" s="107">
        <f>+MAX($D$152,P218)</f>
        <v>8.5900000000000004E-2</v>
      </c>
      <c r="F218" s="35" t="s">
        <v>206</v>
      </c>
      <c r="I218" s="25"/>
      <c r="P218" s="36">
        <f>+C218+$C$151</f>
        <v>8.5900000000000004E-2</v>
      </c>
      <c r="Q218" s="36">
        <f t="shared" si="5"/>
        <v>3.0000000000000006E-2</v>
      </c>
    </row>
    <row r="219" spans="1:17" ht="12.75" customHeight="1">
      <c r="A219" s="41" t="s">
        <v>1568</v>
      </c>
      <c r="B219" s="25" t="s">
        <v>1569</v>
      </c>
      <c r="C219" s="435">
        <v>5.6899999999999999E-2</v>
      </c>
      <c r="D219" s="107">
        <f>+MAX($D$152,P219)</f>
        <v>8.6900000000000005E-2</v>
      </c>
      <c r="E219" s="107">
        <f t="shared" ref="E219:E220" si="26">+MAX($D$152,P219)</f>
        <v>8.6900000000000005E-2</v>
      </c>
      <c r="F219" s="35" t="s">
        <v>206</v>
      </c>
      <c r="I219" s="25"/>
      <c r="P219" s="36">
        <f>+C219+$C$151</f>
        <v>8.6900000000000005E-2</v>
      </c>
      <c r="Q219" s="36">
        <f t="shared" si="5"/>
        <v>3.0000000000000006E-2</v>
      </c>
    </row>
    <row r="220" spans="1:17" ht="12.75" customHeight="1">
      <c r="A220" s="41" t="s">
        <v>1570</v>
      </c>
      <c r="B220" s="25" t="s">
        <v>1571</v>
      </c>
      <c r="C220" s="435">
        <v>5.3400000000000003E-2</v>
      </c>
      <c r="D220" s="107">
        <f t="shared" si="6"/>
        <v>8.4400000000000003E-2</v>
      </c>
      <c r="E220" s="107">
        <f t="shared" si="26"/>
        <v>8.4400000000000003E-2</v>
      </c>
      <c r="I220" s="25"/>
      <c r="P220" s="701">
        <f>+C225+$C$151</f>
        <v>8.4400000000000003E-2</v>
      </c>
      <c r="Q220" s="36">
        <f t="shared" si="5"/>
        <v>3.1E-2</v>
      </c>
    </row>
    <row r="221" spans="1:17" ht="12.75" customHeight="1">
      <c r="A221" s="41" t="s">
        <v>1572</v>
      </c>
      <c r="B221" s="25" t="s">
        <v>1573</v>
      </c>
      <c r="C221" s="435">
        <v>5.3400000000000003E-2</v>
      </c>
      <c r="D221" s="107">
        <f t="shared" si="6"/>
        <v>8.4400000000000003E-2</v>
      </c>
      <c r="E221" s="107">
        <f>+MAX($D$152,P221)</f>
        <v>8.4400000000000003E-2</v>
      </c>
      <c r="F221" s="35" t="s">
        <v>206</v>
      </c>
      <c r="I221" s="25"/>
      <c r="P221" s="701">
        <f>+C225+$C$151</f>
        <v>8.4400000000000003E-2</v>
      </c>
      <c r="Q221" s="36">
        <f t="shared" si="5"/>
        <v>3.1E-2</v>
      </c>
    </row>
    <row r="222" spans="1:17" ht="12.75" customHeight="1">
      <c r="A222" s="41" t="s">
        <v>1574</v>
      </c>
      <c r="B222" s="25" t="s">
        <v>1575</v>
      </c>
      <c r="C222" s="435">
        <v>5.1900000000000002E-2</v>
      </c>
      <c r="D222" s="107">
        <f t="shared" si="6"/>
        <v>8.4400000000000003E-2</v>
      </c>
      <c r="E222" s="107">
        <f t="shared" ref="E222:E223" si="27">+MAX($D$152,P222)</f>
        <v>8.4400000000000003E-2</v>
      </c>
      <c r="I222" s="25"/>
      <c r="P222" s="701">
        <f>+C225+$C$151</f>
        <v>8.4400000000000003E-2</v>
      </c>
      <c r="Q222" s="36">
        <f t="shared" si="5"/>
        <v>3.2500000000000001E-2</v>
      </c>
    </row>
    <row r="223" spans="1:17" ht="12.75" customHeight="1">
      <c r="A223" s="41" t="s">
        <v>1576</v>
      </c>
      <c r="B223" s="25" t="s">
        <v>1577</v>
      </c>
      <c r="C223" s="435">
        <v>5.2400000000000002E-2</v>
      </c>
      <c r="D223" s="107">
        <f t="shared" si="6"/>
        <v>8.4400000000000003E-2</v>
      </c>
      <c r="E223" s="107">
        <f t="shared" si="27"/>
        <v>8.4400000000000003E-2</v>
      </c>
      <c r="I223" s="25"/>
      <c r="P223" s="701">
        <f>+C225+$C$151</f>
        <v>8.4400000000000003E-2</v>
      </c>
      <c r="Q223" s="36">
        <f t="shared" si="5"/>
        <v>3.2000000000000001E-2</v>
      </c>
    </row>
    <row r="224" spans="1:17" ht="12.75" customHeight="1">
      <c r="A224" s="41" t="s">
        <v>1578</v>
      </c>
      <c r="B224" s="25" t="s">
        <v>1579</v>
      </c>
      <c r="C224" s="435">
        <v>5.4899999999999997E-2</v>
      </c>
      <c r="D224" s="107">
        <f t="shared" si="6"/>
        <v>8.4400000000000003E-2</v>
      </c>
      <c r="E224" s="107">
        <f>+MAX($D$152,P224)</f>
        <v>8.4400000000000003E-2</v>
      </c>
      <c r="I224" s="25"/>
      <c r="P224" s="701">
        <f>+C225+$C$151</f>
        <v>8.4400000000000003E-2</v>
      </c>
      <c r="Q224" s="36">
        <f t="shared" si="5"/>
        <v>2.9500000000000005E-2</v>
      </c>
    </row>
    <row r="225" spans="1:17" ht="12.75" customHeight="1">
      <c r="A225" s="41" t="s">
        <v>1580</v>
      </c>
      <c r="B225" s="25" t="s">
        <v>1581</v>
      </c>
      <c r="C225" s="435">
        <v>5.4399999999999997E-2</v>
      </c>
      <c r="D225" s="107">
        <f t="shared" si="6"/>
        <v>8.4400000000000003E-2</v>
      </c>
      <c r="E225" s="107">
        <f t="shared" ref="E225:E226" si="28">+MAX($D$152,P225)</f>
        <v>8.4400000000000003E-2</v>
      </c>
      <c r="I225" s="25"/>
      <c r="P225" s="36">
        <f t="shared" si="16"/>
        <v>8.4400000000000003E-2</v>
      </c>
      <c r="Q225" s="36">
        <f t="shared" si="5"/>
        <v>3.0000000000000006E-2</v>
      </c>
    </row>
    <row r="226" spans="1:17" ht="12.75" customHeight="1">
      <c r="A226" s="41" t="s">
        <v>1582</v>
      </c>
      <c r="B226" s="25" t="s">
        <v>1583</v>
      </c>
      <c r="C226" s="435">
        <v>5.5899999999999998E-2</v>
      </c>
      <c r="D226" s="107">
        <f t="shared" si="6"/>
        <v>8.5900000000000004E-2</v>
      </c>
      <c r="E226" s="107">
        <f t="shared" si="28"/>
        <v>8.5900000000000004E-2</v>
      </c>
      <c r="I226" s="25"/>
      <c r="P226" s="36">
        <f t="shared" si="16"/>
        <v>8.5900000000000004E-2</v>
      </c>
      <c r="Q226" s="36">
        <f t="shared" si="5"/>
        <v>3.0000000000000006E-2</v>
      </c>
    </row>
    <row r="227" spans="1:17" ht="12.75" customHeight="1">
      <c r="A227" s="41" t="s">
        <v>1584</v>
      </c>
      <c r="B227" s="25" t="s">
        <v>1585</v>
      </c>
      <c r="C227" s="435">
        <v>5.6899999999999999E-2</v>
      </c>
      <c r="D227" s="107">
        <f>+MAX($D$152,P227)</f>
        <v>8.6900000000000005E-2</v>
      </c>
      <c r="E227" s="107">
        <f>+MAX($D$152,P227)</f>
        <v>8.6900000000000005E-2</v>
      </c>
      <c r="I227" s="25"/>
      <c r="P227" s="36">
        <f t="shared" si="16"/>
        <v>8.6900000000000005E-2</v>
      </c>
      <c r="Q227" s="36">
        <f t="shared" si="5"/>
        <v>3.0000000000000006E-2</v>
      </c>
    </row>
    <row r="228" spans="1:17" ht="12.75" customHeight="1">
      <c r="A228" s="41" t="s">
        <v>1586</v>
      </c>
      <c r="B228" s="25" t="s">
        <v>1587</v>
      </c>
      <c r="C228" s="435">
        <v>5.79E-2</v>
      </c>
      <c r="D228" s="107">
        <f t="shared" si="6"/>
        <v>8.5900000000000004E-2</v>
      </c>
      <c r="E228" s="107">
        <f t="shared" ref="E228:E229" si="29">+MAX($D$152,P228)</f>
        <v>8.5900000000000004E-2</v>
      </c>
      <c r="F228" s="35" t="s">
        <v>206</v>
      </c>
      <c r="I228" s="25"/>
      <c r="P228" s="36">
        <f>+(C228-0.2%)+$C$151</f>
        <v>8.5900000000000004E-2</v>
      </c>
      <c r="Q228" s="36">
        <f t="shared" si="5"/>
        <v>2.8000000000000004E-2</v>
      </c>
    </row>
    <row r="229" spans="1:17" ht="12.75" customHeight="1">
      <c r="A229" s="41" t="s">
        <v>1588</v>
      </c>
      <c r="B229" s="25" t="s">
        <v>1589</v>
      </c>
      <c r="C229" s="435">
        <v>5.8900000000000001E-2</v>
      </c>
      <c r="D229" s="107">
        <f>+MAX($D$152,P229)</f>
        <v>8.6900000000000005E-2</v>
      </c>
      <c r="E229" s="107">
        <f t="shared" si="29"/>
        <v>8.6900000000000005E-2</v>
      </c>
      <c r="F229" s="35" t="s">
        <v>206</v>
      </c>
      <c r="I229" s="25"/>
      <c r="P229" s="36">
        <f>+(C229-0.2%)+$C$151</f>
        <v>8.6900000000000005E-2</v>
      </c>
      <c r="Q229" s="36">
        <f t="shared" si="5"/>
        <v>2.8000000000000004E-2</v>
      </c>
    </row>
    <row r="230" spans="1:17" ht="12.75" customHeight="1">
      <c r="A230" s="41" t="s">
        <v>1590</v>
      </c>
      <c r="B230" s="25" t="s">
        <v>1591</v>
      </c>
      <c r="C230" s="435">
        <v>5.4899999999999997E-2</v>
      </c>
      <c r="D230" s="107">
        <f t="shared" si="6"/>
        <v>8.5900000000000004E-2</v>
      </c>
      <c r="E230" s="107">
        <f>+MAX($D$152,P230)</f>
        <v>8.5900000000000004E-2</v>
      </c>
      <c r="I230" s="25"/>
      <c r="P230" s="701">
        <f>+C238+$C$151</f>
        <v>8.5900000000000004E-2</v>
      </c>
      <c r="Q230" s="36">
        <f t="shared" si="5"/>
        <v>3.1000000000000007E-2</v>
      </c>
    </row>
    <row r="231" spans="1:17" ht="12.75" customHeight="1">
      <c r="A231" s="41" t="s">
        <v>1592</v>
      </c>
      <c r="B231" s="25" t="s">
        <v>1593</v>
      </c>
      <c r="C231" s="435">
        <v>5.3400000000000003E-2</v>
      </c>
      <c r="D231" s="107">
        <f t="shared" si="6"/>
        <v>8.5900000000000004E-2</v>
      </c>
      <c r="E231" s="107">
        <f t="shared" ref="E231:E232" si="30">+MAX($D$152,P231)</f>
        <v>8.5900000000000004E-2</v>
      </c>
      <c r="I231" s="25"/>
      <c r="P231" s="701">
        <f>+C238+$C$151</f>
        <v>8.5900000000000004E-2</v>
      </c>
      <c r="Q231" s="36">
        <f t="shared" ref="Q231:Q238" si="31">+D231-C231</f>
        <v>3.2500000000000001E-2</v>
      </c>
    </row>
    <row r="232" spans="1:17" ht="12.75" customHeight="1">
      <c r="A232" s="41" t="s">
        <v>1594</v>
      </c>
      <c r="B232" s="25" t="s">
        <v>1595</v>
      </c>
      <c r="C232" s="435">
        <v>5.3900000000000003E-2</v>
      </c>
      <c r="D232" s="107">
        <f t="shared" ref="D232:D238" si="32">+MAX($C$152,P232)</f>
        <v>8.5900000000000004E-2</v>
      </c>
      <c r="E232" s="107">
        <f t="shared" si="30"/>
        <v>8.5900000000000004E-2</v>
      </c>
      <c r="I232" s="25"/>
      <c r="P232" s="701">
        <f>+C238+$C$151</f>
        <v>8.5900000000000004E-2</v>
      </c>
      <c r="Q232" s="36">
        <f t="shared" si="31"/>
        <v>3.2000000000000001E-2</v>
      </c>
    </row>
    <row r="233" spans="1:17" ht="12.75" customHeight="1">
      <c r="A233" s="41" t="s">
        <v>1596</v>
      </c>
      <c r="B233" s="25" t="s">
        <v>1597</v>
      </c>
      <c r="C233" s="435">
        <v>5.6399999999999999E-2</v>
      </c>
      <c r="D233" s="107">
        <f t="shared" si="32"/>
        <v>8.5900000000000004E-2</v>
      </c>
      <c r="E233" s="107">
        <f>+MAX($D$152,P233)</f>
        <v>8.5900000000000004E-2</v>
      </c>
      <c r="I233" s="25"/>
      <c r="P233" s="701">
        <f>+C238+$C$151</f>
        <v>8.5900000000000004E-2</v>
      </c>
      <c r="Q233" s="36">
        <f t="shared" si="31"/>
        <v>2.9500000000000005E-2</v>
      </c>
    </row>
    <row r="234" spans="1:17" ht="12.75" customHeight="1">
      <c r="A234" s="41" t="s">
        <v>1598</v>
      </c>
      <c r="B234" s="25" t="s">
        <v>1599</v>
      </c>
      <c r="C234" s="435">
        <v>5.6899999999999999E-2</v>
      </c>
      <c r="D234" s="107">
        <f t="shared" si="32"/>
        <v>8.5900000000000004E-2</v>
      </c>
      <c r="E234" s="107">
        <f t="shared" ref="E234:E235" si="33">+MAX($D$152,P234)</f>
        <v>8.5900000000000004E-2</v>
      </c>
      <c r="F234" s="35" t="s">
        <v>206</v>
      </c>
      <c r="I234" s="25"/>
      <c r="P234" s="701">
        <f>+C238+$C$151</f>
        <v>8.5900000000000004E-2</v>
      </c>
      <c r="Q234" s="36">
        <f t="shared" si="31"/>
        <v>2.9000000000000005E-2</v>
      </c>
    </row>
    <row r="235" spans="1:17" ht="12.75" customHeight="1">
      <c r="A235" s="41" t="s">
        <v>1600</v>
      </c>
      <c r="B235" s="25" t="s">
        <v>1601</v>
      </c>
      <c r="C235" s="435">
        <v>5.5399999999999998E-2</v>
      </c>
      <c r="D235" s="107">
        <f t="shared" si="32"/>
        <v>8.5900000000000004E-2</v>
      </c>
      <c r="E235" s="107">
        <f t="shared" si="33"/>
        <v>8.5900000000000004E-2</v>
      </c>
      <c r="F235" s="35" t="s">
        <v>206</v>
      </c>
      <c r="I235" s="25"/>
      <c r="P235" s="701">
        <f>+C238+$C$151</f>
        <v>8.5900000000000004E-2</v>
      </c>
      <c r="Q235" s="36">
        <f t="shared" si="31"/>
        <v>3.0500000000000006E-2</v>
      </c>
    </row>
    <row r="236" spans="1:17" ht="12.75" customHeight="1">
      <c r="A236" s="41" t="s">
        <v>1602</v>
      </c>
      <c r="B236" s="25" t="s">
        <v>1603</v>
      </c>
      <c r="C236" s="435">
        <v>5.5899999999999998E-2</v>
      </c>
      <c r="D236" s="107">
        <f t="shared" si="32"/>
        <v>8.5900000000000004E-2</v>
      </c>
      <c r="E236" s="107">
        <f>+MAX($D$152,P236)</f>
        <v>8.5900000000000004E-2</v>
      </c>
      <c r="F236" s="35" t="s">
        <v>206</v>
      </c>
      <c r="I236" s="25"/>
      <c r="P236" s="701">
        <f>+C238+$C$151</f>
        <v>8.5900000000000004E-2</v>
      </c>
      <c r="Q236" s="36">
        <f t="shared" si="31"/>
        <v>3.0000000000000006E-2</v>
      </c>
    </row>
    <row r="237" spans="1:17" ht="12.75" customHeight="1">
      <c r="A237" s="41" t="s">
        <v>1604</v>
      </c>
      <c r="B237" s="25" t="s">
        <v>1605</v>
      </c>
      <c r="C237" s="435">
        <v>5.8400000000000001E-2</v>
      </c>
      <c r="D237" s="107">
        <f t="shared" si="32"/>
        <v>8.5900000000000004E-2</v>
      </c>
      <c r="E237" s="107">
        <f t="shared" ref="E237:E238" si="34">+MAX($D$152,P237)</f>
        <v>8.5900000000000004E-2</v>
      </c>
      <c r="F237" s="35" t="s">
        <v>206</v>
      </c>
      <c r="I237" s="25"/>
      <c r="P237" s="701">
        <f>+C238+$C$151</f>
        <v>8.5900000000000004E-2</v>
      </c>
      <c r="Q237" s="36">
        <f t="shared" si="31"/>
        <v>2.7500000000000004E-2</v>
      </c>
    </row>
    <row r="238" spans="1:17" ht="12.75" customHeight="1">
      <c r="A238" s="41" t="s">
        <v>1606</v>
      </c>
      <c r="B238" s="25" t="s">
        <v>1607</v>
      </c>
      <c r="C238" s="435">
        <v>5.5899999999999998E-2</v>
      </c>
      <c r="D238" s="107">
        <f t="shared" si="32"/>
        <v>8.5900000000000004E-2</v>
      </c>
      <c r="E238" s="107">
        <f t="shared" si="34"/>
        <v>8.5900000000000004E-2</v>
      </c>
      <c r="I238" s="25"/>
      <c r="P238" s="36">
        <f t="shared" si="16"/>
        <v>8.5900000000000004E-2</v>
      </c>
      <c r="Q238" s="36">
        <f t="shared" si="31"/>
        <v>3.0000000000000006E-2</v>
      </c>
    </row>
    <row r="239" spans="1:17" ht="12.75" customHeight="1">
      <c r="A239" s="18" t="s">
        <v>344</v>
      </c>
      <c r="B239" s="18" t="s">
        <v>345</v>
      </c>
      <c r="C239" s="405">
        <v>6.6900000000000001E-2</v>
      </c>
      <c r="D239" s="596"/>
      <c r="E239" s="596"/>
      <c r="F239" s="35" t="s">
        <v>342</v>
      </c>
      <c r="I239" s="18"/>
      <c r="L239" s="447">
        <v>0</v>
      </c>
      <c r="M239" s="143">
        <v>0</v>
      </c>
      <c r="P239" s="36"/>
    </row>
    <row r="240" spans="1:17" ht="12.75" customHeight="1">
      <c r="A240" s="18" t="s">
        <v>1416</v>
      </c>
      <c r="B240" s="18" t="s">
        <v>152</v>
      </c>
      <c r="C240" s="442">
        <f>(C239)-VLOOKUP([1]Worksheet!C$24,L239:M240,2,TRUE)</f>
        <v>6.6900000000000001E-2</v>
      </c>
      <c r="D240" s="593">
        <f>+MAX(D$152,P240)</f>
        <v>9.69E-2</v>
      </c>
      <c r="E240" s="107">
        <f t="shared" ref="E240:E251" si="35">+MAX(D$152,P240)</f>
        <v>9.69E-2</v>
      </c>
      <c r="I240" s="18"/>
      <c r="L240" s="447">
        <v>499999.99</v>
      </c>
      <c r="M240" s="448">
        <v>1E-3</v>
      </c>
      <c r="N240" s="36">
        <f>+C240-M240</f>
        <v>6.59E-2</v>
      </c>
      <c r="P240" s="36">
        <f>+C240+C$151</f>
        <v>9.69E-2</v>
      </c>
      <c r="Q240" s="36">
        <f>+D240-C240</f>
        <v>0.03</v>
      </c>
    </row>
    <row r="241" spans="1:17" ht="12.75" customHeight="1">
      <c r="A241" s="18" t="s">
        <v>151</v>
      </c>
      <c r="B241" s="18" t="s">
        <v>152</v>
      </c>
      <c r="C241" s="442">
        <f>(C239)-((VLOOKUP([1]Worksheet!C$24,L239:M240,2,TRUE))-(G151))</f>
        <v>6.2400000000000004E-2</v>
      </c>
      <c r="D241" s="593">
        <f>+MAX(C152,P241)</f>
        <v>9.240000000000001E-2</v>
      </c>
      <c r="E241" s="107">
        <f t="shared" si="35"/>
        <v>9.240000000000001E-2</v>
      </c>
      <c r="I241" s="18"/>
      <c r="L241" s="447"/>
      <c r="M241" s="448"/>
      <c r="N241" s="36"/>
      <c r="P241" s="36">
        <f>+C241+C$151</f>
        <v>9.240000000000001E-2</v>
      </c>
      <c r="Q241" s="36">
        <f>+D241-C241</f>
        <v>3.0000000000000006E-2</v>
      </c>
    </row>
    <row r="242" spans="1:17" ht="12.75" customHeight="1">
      <c r="A242" s="18" t="s">
        <v>1422</v>
      </c>
      <c r="B242" s="18" t="s">
        <v>152</v>
      </c>
      <c r="C242" s="442">
        <f>(C239)-(VLOOKUP([1]Worksheet!C$24,L239:M240,2,TRUE))-H151</f>
        <v>6.8400000000000002E-2</v>
      </c>
      <c r="D242" s="593">
        <f>+MAX(D$152,P242)</f>
        <v>9.8400000000000001E-2</v>
      </c>
      <c r="E242" s="107">
        <f t="shared" si="35"/>
        <v>9.8400000000000001E-2</v>
      </c>
      <c r="I242" s="18"/>
      <c r="L242" s="447"/>
      <c r="M242" s="448"/>
      <c r="N242" s="36"/>
      <c r="P242" s="36">
        <f>+C242+C$151</f>
        <v>9.8400000000000001E-2</v>
      </c>
      <c r="Q242" s="36">
        <v>0.03</v>
      </c>
    </row>
    <row r="243" spans="1:17" ht="12.75" customHeight="1">
      <c r="A243" s="18" t="s">
        <v>153</v>
      </c>
      <c r="B243" s="18" t="s">
        <v>154</v>
      </c>
      <c r="C243" s="142">
        <v>7.1499999999999994E-2</v>
      </c>
      <c r="D243" s="593">
        <f t="shared" ref="D243:D251" si="36">+MAX(C$152,P243)</f>
        <v>0.10149999999999999</v>
      </c>
      <c r="E243" s="107">
        <f t="shared" si="35"/>
        <v>0.10149999999999999</v>
      </c>
      <c r="F243" s="35" t="s">
        <v>342</v>
      </c>
      <c r="P243" s="36">
        <f>+C243+C$151</f>
        <v>0.10149999999999999</v>
      </c>
      <c r="Q243" s="36">
        <f t="shared" ref="Q243:Q268" si="37">+D243-C243</f>
        <v>0.03</v>
      </c>
    </row>
    <row r="244" spans="1:17" ht="12.75" customHeight="1">
      <c r="A244" s="18" t="s">
        <v>331</v>
      </c>
      <c r="B244" s="18" t="s">
        <v>332</v>
      </c>
      <c r="C244" s="442">
        <v>7.3499999999999996E-2</v>
      </c>
      <c r="D244" s="107">
        <f t="shared" si="36"/>
        <v>0.10149999999999999</v>
      </c>
      <c r="E244" s="107">
        <f t="shared" si="35"/>
        <v>0.10149999999999999</v>
      </c>
      <c r="F244" s="35" t="s">
        <v>206</v>
      </c>
      <c r="H244" s="445">
        <v>0</v>
      </c>
      <c r="I244" s="445">
        <v>249999</v>
      </c>
      <c r="J244" s="446">
        <v>499999</v>
      </c>
      <c r="K244" s="445">
        <v>749999</v>
      </c>
      <c r="L244" s="90">
        <f>+H244</f>
        <v>0</v>
      </c>
      <c r="M244" s="32">
        <f>+H245</f>
        <v>7.4999999999999997E-3</v>
      </c>
      <c r="N244" s="36">
        <f>+C$243-M244</f>
        <v>6.4000000000000001E-2</v>
      </c>
      <c r="P244" s="36">
        <f>+C$243+C$151</f>
        <v>0.10149999999999999</v>
      </c>
      <c r="Q244" s="36">
        <f t="shared" si="37"/>
        <v>2.7999999999999997E-2</v>
      </c>
    </row>
    <row r="245" spans="1:17" ht="12.75" customHeight="1">
      <c r="A245" s="18" t="s">
        <v>155</v>
      </c>
      <c r="B245" s="18" t="s">
        <v>156</v>
      </c>
      <c r="C245" s="442" t="e">
        <f>+C243-VLOOKUP([1]Worksheet!C$24,L$248:M$251,2,TRUE)</f>
        <v>#N/A</v>
      </c>
      <c r="D245" s="593" t="e">
        <f t="shared" si="36"/>
        <v>#N/A</v>
      </c>
      <c r="E245" s="107" t="e">
        <f t="shared" si="35"/>
        <v>#N/A</v>
      </c>
      <c r="F245" s="35" t="s">
        <v>342</v>
      </c>
      <c r="G245" s="444">
        <f>ROUND(395/12,0)</f>
        <v>33</v>
      </c>
      <c r="H245" s="140">
        <v>7.4999999999999997E-3</v>
      </c>
      <c r="I245" s="141">
        <v>8.5000000000000006E-3</v>
      </c>
      <c r="J245" s="140">
        <v>9.4999999999999998E-3</v>
      </c>
      <c r="K245" s="140">
        <v>1.0500000000000001E-2</v>
      </c>
      <c r="L245" s="90">
        <f>+I244</f>
        <v>249999</v>
      </c>
      <c r="M245" s="32">
        <f>+I245</f>
        <v>8.5000000000000006E-3</v>
      </c>
      <c r="N245" s="36">
        <f>+C$243-M245</f>
        <v>6.3E-2</v>
      </c>
      <c r="P245" s="36" t="e">
        <f>+C245+C$151</f>
        <v>#N/A</v>
      </c>
      <c r="Q245" s="36" t="e">
        <f t="shared" si="37"/>
        <v>#N/A</v>
      </c>
    </row>
    <row r="246" spans="1:17" ht="12.75" customHeight="1">
      <c r="A246" s="18" t="s">
        <v>333</v>
      </c>
      <c r="B246" s="18" t="s">
        <v>334</v>
      </c>
      <c r="C246" s="442" t="e">
        <f>+C245</f>
        <v>#N/A</v>
      </c>
      <c r="D246" s="107" t="e">
        <f t="shared" si="36"/>
        <v>#N/A</v>
      </c>
      <c r="E246" s="107" t="e">
        <f t="shared" si="35"/>
        <v>#N/A</v>
      </c>
      <c r="F246" s="35" t="s">
        <v>206</v>
      </c>
      <c r="G246" s="443">
        <f t="shared" ref="G246:G251" si="38">ROUND(395/12,0)</f>
        <v>33</v>
      </c>
      <c r="I246" s="18"/>
      <c r="L246" s="91">
        <f>+J244</f>
        <v>499999</v>
      </c>
      <c r="M246" s="32">
        <f>+J245</f>
        <v>9.4999999999999998E-3</v>
      </c>
      <c r="N246" s="36">
        <f>+C$243-M246</f>
        <v>6.1999999999999993E-2</v>
      </c>
      <c r="P246" s="36" t="e">
        <f t="shared" ref="P246:P251" si="39">+C$245+$C$151</f>
        <v>#N/A</v>
      </c>
      <c r="Q246" s="36" t="e">
        <f t="shared" si="37"/>
        <v>#N/A</v>
      </c>
    </row>
    <row r="247" spans="1:17" ht="12.75" customHeight="1">
      <c r="A247" s="25" t="s">
        <v>157</v>
      </c>
      <c r="B247" s="25" t="s">
        <v>158</v>
      </c>
      <c r="C247" s="142">
        <v>6.2399999999999997E-2</v>
      </c>
      <c r="D247" s="593" t="e">
        <f t="shared" si="36"/>
        <v>#N/A</v>
      </c>
      <c r="E247" s="107" t="e">
        <f t="shared" si="35"/>
        <v>#N/A</v>
      </c>
      <c r="F247" s="35" t="s">
        <v>342</v>
      </c>
      <c r="G247" s="443">
        <f t="shared" si="38"/>
        <v>33</v>
      </c>
      <c r="I247" s="18"/>
      <c r="L247" s="90">
        <f>+K244</f>
        <v>749999</v>
      </c>
      <c r="M247" s="32">
        <f>+K245</f>
        <v>1.0500000000000001E-2</v>
      </c>
      <c r="N247" s="36">
        <f>+C$243-M247</f>
        <v>6.0999999999999992E-2</v>
      </c>
      <c r="P247" s="36" t="e">
        <f t="shared" si="39"/>
        <v>#N/A</v>
      </c>
      <c r="Q247" s="36" t="e">
        <f t="shared" si="37"/>
        <v>#N/A</v>
      </c>
    </row>
    <row r="248" spans="1:17" ht="12.75" customHeight="1">
      <c r="A248" s="25" t="s">
        <v>335</v>
      </c>
      <c r="B248" s="25" t="s">
        <v>336</v>
      </c>
      <c r="C248" s="442">
        <f>+C247+E$155</f>
        <v>6.2399999999999997E-2</v>
      </c>
      <c r="D248" s="107" t="e">
        <f t="shared" si="36"/>
        <v>#N/A</v>
      </c>
      <c r="E248" s="107" t="e">
        <f t="shared" si="35"/>
        <v>#N/A</v>
      </c>
      <c r="F248" s="35" t="s">
        <v>206</v>
      </c>
      <c r="G248" s="443">
        <f t="shared" si="38"/>
        <v>33</v>
      </c>
      <c r="I248" s="18"/>
      <c r="L248" s="90"/>
      <c r="M248" s="32"/>
      <c r="N248" s="36"/>
      <c r="P248" s="36" t="e">
        <f t="shared" si="39"/>
        <v>#N/A</v>
      </c>
      <c r="Q248" s="36" t="e">
        <f t="shared" si="37"/>
        <v>#N/A</v>
      </c>
    </row>
    <row r="249" spans="1:17" ht="12.75" customHeight="1">
      <c r="A249" s="25" t="s">
        <v>159</v>
      </c>
      <c r="B249" s="25" t="s">
        <v>160</v>
      </c>
      <c r="C249" s="142">
        <v>6.2399999999999997E-2</v>
      </c>
      <c r="D249" s="107" t="e">
        <f t="shared" si="36"/>
        <v>#N/A</v>
      </c>
      <c r="E249" s="107" t="e">
        <f t="shared" si="35"/>
        <v>#N/A</v>
      </c>
      <c r="F249" s="35" t="s">
        <v>342</v>
      </c>
      <c r="G249" s="443">
        <f t="shared" si="38"/>
        <v>33</v>
      </c>
      <c r="I249" s="18"/>
      <c r="P249" s="36" t="e">
        <f t="shared" si="39"/>
        <v>#N/A</v>
      </c>
      <c r="Q249" s="36" t="e">
        <f t="shared" si="37"/>
        <v>#N/A</v>
      </c>
    </row>
    <row r="250" spans="1:17" ht="12.75" customHeight="1">
      <c r="A250" s="25" t="s">
        <v>161</v>
      </c>
      <c r="B250" s="25" t="s">
        <v>162</v>
      </c>
      <c r="C250" s="142">
        <v>5.9900000000000002E-2</v>
      </c>
      <c r="D250" s="107" t="e">
        <f t="shared" si="36"/>
        <v>#N/A</v>
      </c>
      <c r="E250" s="107" t="e">
        <f t="shared" si="35"/>
        <v>#N/A</v>
      </c>
      <c r="F250" s="35" t="s">
        <v>342</v>
      </c>
      <c r="G250" s="443">
        <f t="shared" si="38"/>
        <v>33</v>
      </c>
      <c r="I250" s="18"/>
      <c r="L250" s="92"/>
      <c r="M250" s="32"/>
      <c r="N250" s="36"/>
      <c r="P250" s="36" t="e">
        <f t="shared" si="39"/>
        <v>#N/A</v>
      </c>
      <c r="Q250" s="36" t="e">
        <f t="shared" si="37"/>
        <v>#N/A</v>
      </c>
    </row>
    <row r="251" spans="1:17" ht="12.75" customHeight="1">
      <c r="A251" s="25" t="s">
        <v>163</v>
      </c>
      <c r="B251" s="25" t="s">
        <v>164</v>
      </c>
      <c r="C251" s="142">
        <v>6.6400000000000001E-2</v>
      </c>
      <c r="D251" s="107" t="e">
        <f t="shared" si="36"/>
        <v>#N/A</v>
      </c>
      <c r="E251" s="107" t="e">
        <f t="shared" si="35"/>
        <v>#N/A</v>
      </c>
      <c r="F251" s="35" t="s">
        <v>342</v>
      </c>
      <c r="G251" s="443">
        <f t="shared" si="38"/>
        <v>33</v>
      </c>
      <c r="I251" s="25"/>
      <c r="P251" s="36" t="e">
        <f t="shared" si="39"/>
        <v>#N/A</v>
      </c>
      <c r="Q251" s="36" t="e">
        <f t="shared" si="37"/>
        <v>#N/A</v>
      </c>
    </row>
    <row r="252" spans="1:17" ht="12.75" customHeight="1">
      <c r="A252" s="25" t="s">
        <v>346</v>
      </c>
      <c r="B252" s="25" t="s">
        <v>347</v>
      </c>
      <c r="C252" s="405">
        <v>7.0900000000000005E-2</v>
      </c>
      <c r="D252" s="597"/>
      <c r="E252" s="597"/>
      <c r="F252" s="35" t="s">
        <v>342</v>
      </c>
      <c r="I252" s="25"/>
      <c r="L252" s="447">
        <v>0</v>
      </c>
      <c r="M252" s="143">
        <v>0</v>
      </c>
      <c r="Q252" s="36">
        <f t="shared" si="37"/>
        <v>-7.0900000000000005E-2</v>
      </c>
    </row>
    <row r="253" spans="1:17" ht="12.75" customHeight="1">
      <c r="A253" s="25" t="s">
        <v>1418</v>
      </c>
      <c r="B253" s="25" t="s">
        <v>1428</v>
      </c>
      <c r="C253" s="442" t="e">
        <f>(C252)-VLOOKUP([1]Worksheet!C$24,L$256:M$257,2,TRUE)</f>
        <v>#N/A</v>
      </c>
      <c r="D253" s="593" t="e">
        <f>+MAX(D$152,P253)</f>
        <v>#N/A</v>
      </c>
      <c r="E253" s="107" t="e">
        <f>+MAX(D$152,P253)</f>
        <v>#N/A</v>
      </c>
      <c r="I253" s="25"/>
      <c r="L253" s="447">
        <v>499999.99</v>
      </c>
      <c r="M253" s="448">
        <v>1E-3</v>
      </c>
      <c r="N253" s="36" t="e">
        <f>+C253-M253</f>
        <v>#N/A</v>
      </c>
      <c r="P253" s="36" t="e">
        <f>+C253+C$151</f>
        <v>#N/A</v>
      </c>
      <c r="Q253" s="36" t="e">
        <f t="shared" si="37"/>
        <v>#N/A</v>
      </c>
    </row>
    <row r="254" spans="1:17" ht="12.75" customHeight="1">
      <c r="A254" s="25" t="s">
        <v>1419</v>
      </c>
      <c r="B254" s="25" t="s">
        <v>168</v>
      </c>
      <c r="C254" s="595" t="e">
        <f>+C253+E$155</f>
        <v>#N/A</v>
      </c>
      <c r="D254" s="107">
        <f>+MAX(D$152,P259)</f>
        <v>9.9899999999999989E-2</v>
      </c>
      <c r="E254" s="107">
        <f>+MAX(D$152,P259)</f>
        <v>9.9899999999999989E-2</v>
      </c>
      <c r="F254" s="35" t="s">
        <v>206</v>
      </c>
      <c r="I254" s="25"/>
      <c r="L254" s="447">
        <v>0</v>
      </c>
      <c r="M254" s="143">
        <v>0</v>
      </c>
      <c r="P254" s="36" t="e">
        <f>+C$253+C$151</f>
        <v>#N/A</v>
      </c>
      <c r="Q254" s="36" t="e">
        <f t="shared" si="37"/>
        <v>#N/A</v>
      </c>
    </row>
    <row r="255" spans="1:17" ht="12.75" customHeight="1">
      <c r="A255" s="25" t="s">
        <v>165</v>
      </c>
      <c r="B255" s="25" t="s">
        <v>166</v>
      </c>
      <c r="C255" s="595" t="e">
        <f>(C252)-((VLOOKUP([1]Worksheet!C$24,L$256:M$257,2,TRUE))-(I151))</f>
        <v>#N/A</v>
      </c>
      <c r="D255" s="593" t="e">
        <f>+MAX(C$152,P255)</f>
        <v>#N/A</v>
      </c>
      <c r="E255" s="107" t="e">
        <f>+MAX(D$152,P255)</f>
        <v>#N/A</v>
      </c>
      <c r="I255" s="25"/>
      <c r="L255" s="447"/>
      <c r="M255" s="143"/>
      <c r="P255" s="36" t="e">
        <f>+C255+C$151</f>
        <v>#N/A</v>
      </c>
      <c r="Q255" s="36" t="e">
        <f t="shared" si="37"/>
        <v>#N/A</v>
      </c>
    </row>
    <row r="256" spans="1:17" ht="12.75" customHeight="1">
      <c r="A256" s="25" t="s">
        <v>167</v>
      </c>
      <c r="B256" s="25" t="s">
        <v>168</v>
      </c>
      <c r="C256" s="595" t="e">
        <f>(C252)-((VLOOKUP([1]Worksheet!C$24,L$256:M$257,2,TRUE))-(I151+E151))</f>
        <v>#N/A</v>
      </c>
      <c r="D256" s="107">
        <f>+MAX(C$152,P259)</f>
        <v>9.9899999999999989E-2</v>
      </c>
      <c r="E256" s="107">
        <f>+MAX(D$152,P259)</f>
        <v>9.9899999999999989E-2</v>
      </c>
      <c r="F256" s="35" t="s">
        <v>206</v>
      </c>
      <c r="I256" s="25"/>
      <c r="L256" s="447"/>
      <c r="M256" s="143"/>
      <c r="P256" s="36" t="e">
        <f>+C$255+C$151</f>
        <v>#N/A</v>
      </c>
      <c r="Q256" s="36" t="e">
        <f t="shared" si="37"/>
        <v>#N/A</v>
      </c>
    </row>
    <row r="257" spans="1:17" ht="12.75" customHeight="1">
      <c r="A257" s="18" t="s">
        <v>169</v>
      </c>
      <c r="B257" s="18" t="s">
        <v>170</v>
      </c>
      <c r="C257" s="142">
        <v>7.7399999999999997E-2</v>
      </c>
      <c r="D257" s="593">
        <f t="shared" ref="D257:D268" si="40">+MAX(C$152,P257)</f>
        <v>0.1074</v>
      </c>
      <c r="E257" s="107">
        <f t="shared" ref="E257:E268" si="41">+MAX(D$152,P257)</f>
        <v>0.1074</v>
      </c>
      <c r="F257" s="35" t="s">
        <v>342</v>
      </c>
      <c r="P257" s="36">
        <f>+C257+C$151</f>
        <v>0.1074</v>
      </c>
      <c r="Q257" s="36">
        <f t="shared" si="37"/>
        <v>0.03</v>
      </c>
    </row>
    <row r="258" spans="1:17" ht="12.75" customHeight="1">
      <c r="A258" s="18" t="s">
        <v>171</v>
      </c>
      <c r="B258" s="18" t="s">
        <v>172</v>
      </c>
      <c r="C258" s="442">
        <f>+C257+E$155</f>
        <v>7.7399999999999997E-2</v>
      </c>
      <c r="D258" s="107">
        <f t="shared" si="40"/>
        <v>0.1074</v>
      </c>
      <c r="E258" s="107">
        <f t="shared" si="41"/>
        <v>0.1074</v>
      </c>
      <c r="F258" s="35" t="s">
        <v>206</v>
      </c>
      <c r="H258" s="445">
        <v>0</v>
      </c>
      <c r="I258" s="445">
        <v>249999</v>
      </c>
      <c r="J258" s="446">
        <v>499999</v>
      </c>
      <c r="K258" s="445">
        <v>749999</v>
      </c>
      <c r="L258" s="90">
        <v>0</v>
      </c>
      <c r="M258" s="32">
        <v>7.4999999999999997E-3</v>
      </c>
      <c r="N258" s="36">
        <f>+C$257-M258</f>
        <v>6.989999999999999E-2</v>
      </c>
      <c r="P258" s="36">
        <f>+C$257+C$151</f>
        <v>0.1074</v>
      </c>
      <c r="Q258" s="36">
        <f t="shared" si="37"/>
        <v>0.03</v>
      </c>
    </row>
    <row r="259" spans="1:17" ht="12.75" customHeight="1">
      <c r="A259" s="25" t="s">
        <v>173</v>
      </c>
      <c r="B259" s="25" t="s">
        <v>174</v>
      </c>
      <c r="C259" s="442">
        <f>+C257-VLOOKUP([1]Worksheet!C$24,L258:M261,2,TRUE)</f>
        <v>6.989999999999999E-2</v>
      </c>
      <c r="D259" s="593">
        <f t="shared" si="40"/>
        <v>9.9899999999999989E-2</v>
      </c>
      <c r="E259" s="107">
        <f t="shared" si="41"/>
        <v>9.9899999999999989E-2</v>
      </c>
      <c r="F259" s="35" t="s">
        <v>342</v>
      </c>
      <c r="G259" s="444">
        <f>ROUND(395/12,0)</f>
        <v>33</v>
      </c>
      <c r="H259" s="140">
        <v>7.4999999999999997E-3</v>
      </c>
      <c r="I259" s="141">
        <v>8.5000000000000006E-3</v>
      </c>
      <c r="J259" s="140">
        <v>9.4999999999999998E-3</v>
      </c>
      <c r="K259" s="140">
        <v>1.0500000000000001E-2</v>
      </c>
      <c r="L259" s="90">
        <v>249999</v>
      </c>
      <c r="M259" s="32">
        <v>8.5000000000000006E-3</v>
      </c>
      <c r="N259" s="36">
        <f>+C$257-M259</f>
        <v>6.8899999999999989E-2</v>
      </c>
      <c r="P259" s="36">
        <f t="shared" ref="P259:P268" si="42">+C$259+C$151</f>
        <v>9.9899999999999989E-2</v>
      </c>
      <c r="Q259" s="36">
        <f t="shared" si="37"/>
        <v>0.03</v>
      </c>
    </row>
    <row r="260" spans="1:17" ht="12.75" customHeight="1">
      <c r="A260" s="25" t="s">
        <v>175</v>
      </c>
      <c r="B260" s="25" t="s">
        <v>176</v>
      </c>
      <c r="C260" s="435">
        <f>+C259+E$155</f>
        <v>6.989999999999999E-2</v>
      </c>
      <c r="D260" s="107">
        <f t="shared" si="40"/>
        <v>9.9899999999999989E-2</v>
      </c>
      <c r="E260" s="107">
        <f t="shared" si="41"/>
        <v>9.9899999999999989E-2</v>
      </c>
      <c r="F260" s="35" t="s">
        <v>206</v>
      </c>
      <c r="G260" s="443">
        <f t="shared" ref="G260:G268" si="43">ROUND(395/12,0)</f>
        <v>33</v>
      </c>
      <c r="H260" s="436"/>
      <c r="I260" s="436"/>
      <c r="J260" s="436"/>
      <c r="K260" s="436"/>
      <c r="L260" s="91">
        <v>499999</v>
      </c>
      <c r="M260" s="32">
        <v>9.4999999999999998E-3</v>
      </c>
      <c r="N260" s="36">
        <f>+C$257-M260</f>
        <v>6.7900000000000002E-2</v>
      </c>
      <c r="P260" s="36">
        <f t="shared" si="42"/>
        <v>9.9899999999999989E-2</v>
      </c>
      <c r="Q260" s="36">
        <f t="shared" si="37"/>
        <v>0.03</v>
      </c>
    </row>
    <row r="261" spans="1:17" ht="12.75" customHeight="1">
      <c r="A261" s="25" t="s">
        <v>177</v>
      </c>
      <c r="B261" s="25" t="s">
        <v>178</v>
      </c>
      <c r="C261" s="142">
        <v>6.2399999999999997E-2</v>
      </c>
      <c r="D261" s="593">
        <f t="shared" si="40"/>
        <v>9.9899999999999989E-2</v>
      </c>
      <c r="E261" s="107">
        <f t="shared" si="41"/>
        <v>9.9899999999999989E-2</v>
      </c>
      <c r="F261" s="35" t="s">
        <v>342</v>
      </c>
      <c r="G261" s="443">
        <f t="shared" si="43"/>
        <v>33</v>
      </c>
      <c r="H261" s="436"/>
      <c r="I261" s="436"/>
      <c r="J261" s="436"/>
      <c r="K261" s="436"/>
      <c r="L261" s="90">
        <v>749999</v>
      </c>
      <c r="M261" s="32">
        <v>1.0500000000000001E-2</v>
      </c>
      <c r="N261" s="36">
        <f>+C$257-M261</f>
        <v>6.6900000000000001E-2</v>
      </c>
      <c r="P261" s="36">
        <f t="shared" si="42"/>
        <v>9.9899999999999989E-2</v>
      </c>
      <c r="Q261" s="36">
        <f t="shared" si="37"/>
        <v>3.7499999999999992E-2</v>
      </c>
    </row>
    <row r="262" spans="1:17" ht="12.75" customHeight="1">
      <c r="A262" s="25" t="s">
        <v>179</v>
      </c>
      <c r="B262" s="25" t="s">
        <v>180</v>
      </c>
      <c r="C262" s="442">
        <f>+C261+E$155</f>
        <v>6.2399999999999997E-2</v>
      </c>
      <c r="D262" s="107">
        <f t="shared" si="40"/>
        <v>9.9899999999999989E-2</v>
      </c>
      <c r="E262" s="107">
        <f t="shared" si="41"/>
        <v>9.9899999999999989E-2</v>
      </c>
      <c r="F262" s="35" t="s">
        <v>206</v>
      </c>
      <c r="G262" s="443">
        <f t="shared" si="43"/>
        <v>33</v>
      </c>
      <c r="H262" s="436"/>
      <c r="I262" s="436"/>
      <c r="J262" s="436"/>
      <c r="K262" s="436"/>
      <c r="P262" s="36">
        <f t="shared" si="42"/>
        <v>9.9899999999999989E-2</v>
      </c>
      <c r="Q262" s="36">
        <f t="shared" si="37"/>
        <v>3.7499999999999992E-2</v>
      </c>
    </row>
    <row r="263" spans="1:17" ht="12.75" customHeight="1">
      <c r="A263" s="25" t="s">
        <v>181</v>
      </c>
      <c r="B263" s="25" t="s">
        <v>182</v>
      </c>
      <c r="C263" s="142">
        <v>6.4399999999999999E-2</v>
      </c>
      <c r="D263" s="107">
        <f t="shared" si="40"/>
        <v>9.9899999999999989E-2</v>
      </c>
      <c r="E263" s="107">
        <f t="shared" si="41"/>
        <v>9.9899999999999989E-2</v>
      </c>
      <c r="F263" s="35" t="s">
        <v>342</v>
      </c>
      <c r="G263" s="443">
        <f t="shared" si="43"/>
        <v>33</v>
      </c>
      <c r="H263" s="436"/>
      <c r="I263" s="436"/>
      <c r="J263" s="436"/>
      <c r="K263" s="436"/>
      <c r="P263" s="36">
        <f t="shared" si="42"/>
        <v>9.9899999999999989E-2</v>
      </c>
      <c r="Q263" s="36">
        <f t="shared" si="37"/>
        <v>3.549999999999999E-2</v>
      </c>
    </row>
    <row r="264" spans="1:17" ht="12.75" customHeight="1">
      <c r="A264" s="25" t="s">
        <v>183</v>
      </c>
      <c r="B264" s="25" t="s">
        <v>184</v>
      </c>
      <c r="C264" s="442">
        <f>+C263+E$155</f>
        <v>6.4399999999999999E-2</v>
      </c>
      <c r="D264" s="107">
        <f t="shared" si="40"/>
        <v>9.9899999999999989E-2</v>
      </c>
      <c r="E264" s="107">
        <f t="shared" si="41"/>
        <v>9.9899999999999989E-2</v>
      </c>
      <c r="F264" s="35" t="s">
        <v>206</v>
      </c>
      <c r="G264" s="443">
        <f t="shared" si="43"/>
        <v>33</v>
      </c>
      <c r="H264" s="436"/>
      <c r="I264" s="436"/>
      <c r="J264" s="436"/>
      <c r="K264" s="436"/>
      <c r="P264" s="36">
        <f t="shared" si="42"/>
        <v>9.9899999999999989E-2</v>
      </c>
      <c r="Q264" s="36">
        <f t="shared" si="37"/>
        <v>3.549999999999999E-2</v>
      </c>
    </row>
    <row r="265" spans="1:17" ht="12.75" customHeight="1">
      <c r="A265" s="25" t="s">
        <v>185</v>
      </c>
      <c r="B265" s="25" t="s">
        <v>186</v>
      </c>
      <c r="C265" s="142">
        <v>6.1899999999999997E-2</v>
      </c>
      <c r="D265" s="107">
        <f t="shared" si="40"/>
        <v>9.9899999999999989E-2</v>
      </c>
      <c r="E265" s="107">
        <f t="shared" si="41"/>
        <v>9.9899999999999989E-2</v>
      </c>
      <c r="F265" s="35" t="s">
        <v>342</v>
      </c>
      <c r="G265" s="443">
        <f t="shared" si="43"/>
        <v>33</v>
      </c>
      <c r="H265" s="436"/>
      <c r="I265" s="436"/>
      <c r="J265" s="436"/>
      <c r="K265" s="436"/>
      <c r="P265" s="36">
        <f t="shared" si="42"/>
        <v>9.9899999999999989E-2</v>
      </c>
      <c r="Q265" s="36">
        <f t="shared" si="37"/>
        <v>3.7999999999999992E-2</v>
      </c>
    </row>
    <row r="266" spans="1:17" ht="12.75" customHeight="1">
      <c r="A266" s="25" t="s">
        <v>187</v>
      </c>
      <c r="B266" s="25" t="s">
        <v>188</v>
      </c>
      <c r="C266" s="442">
        <f>+C265+E$155</f>
        <v>6.1899999999999997E-2</v>
      </c>
      <c r="D266" s="107">
        <f t="shared" si="40"/>
        <v>9.9899999999999989E-2</v>
      </c>
      <c r="E266" s="107">
        <f t="shared" si="41"/>
        <v>9.9899999999999989E-2</v>
      </c>
      <c r="F266" s="35" t="s">
        <v>206</v>
      </c>
      <c r="G266" s="443">
        <f t="shared" si="43"/>
        <v>33</v>
      </c>
      <c r="H266" s="436"/>
      <c r="I266" s="436"/>
      <c r="J266" s="436"/>
      <c r="K266" s="436"/>
      <c r="P266" s="36">
        <f t="shared" si="42"/>
        <v>9.9899999999999989E-2</v>
      </c>
      <c r="Q266" s="36">
        <f t="shared" si="37"/>
        <v>3.7999999999999992E-2</v>
      </c>
    </row>
    <row r="267" spans="1:17" ht="12.75" customHeight="1">
      <c r="A267" s="25" t="s">
        <v>189</v>
      </c>
      <c r="B267" s="25" t="s">
        <v>190</v>
      </c>
      <c r="C267" s="142">
        <v>6.8400000000000002E-2</v>
      </c>
      <c r="D267" s="107">
        <f t="shared" si="40"/>
        <v>9.9899999999999989E-2</v>
      </c>
      <c r="E267" s="107">
        <f t="shared" si="41"/>
        <v>9.9899999999999989E-2</v>
      </c>
      <c r="F267" s="35" t="s">
        <v>342</v>
      </c>
      <c r="G267" s="443">
        <f t="shared" si="43"/>
        <v>33</v>
      </c>
      <c r="H267" s="436"/>
      <c r="I267" s="436"/>
      <c r="J267" s="436"/>
      <c r="K267" s="436"/>
      <c r="P267" s="36">
        <f t="shared" si="42"/>
        <v>9.9899999999999989E-2</v>
      </c>
      <c r="Q267" s="36">
        <f t="shared" si="37"/>
        <v>3.1499999999999986E-2</v>
      </c>
    </row>
    <row r="268" spans="1:17" ht="12.75" customHeight="1">
      <c r="A268" s="25" t="s">
        <v>191</v>
      </c>
      <c r="B268" s="25" t="s">
        <v>192</v>
      </c>
      <c r="C268" s="442">
        <f>+C267+E151</f>
        <v>7.0400000000000004E-2</v>
      </c>
      <c r="D268" s="107">
        <f t="shared" si="40"/>
        <v>9.9899999999999989E-2</v>
      </c>
      <c r="E268" s="107">
        <f t="shared" si="41"/>
        <v>9.9899999999999989E-2</v>
      </c>
      <c r="F268" s="35" t="s">
        <v>206</v>
      </c>
      <c r="G268" s="443">
        <f t="shared" si="43"/>
        <v>33</v>
      </c>
      <c r="H268" s="436"/>
      <c r="I268" s="436"/>
      <c r="J268" s="436"/>
      <c r="K268" s="436"/>
      <c r="P268" s="36">
        <f t="shared" si="42"/>
        <v>9.9899999999999989E-2</v>
      </c>
      <c r="Q268" s="36">
        <f t="shared" si="37"/>
        <v>2.9499999999999985E-2</v>
      </c>
    </row>
    <row r="270" spans="1:17" ht="12.75" customHeight="1">
      <c r="A270" s="20" t="s">
        <v>203</v>
      </c>
      <c r="B270" s="20"/>
      <c r="C270" s="35" t="s">
        <v>348</v>
      </c>
      <c r="E270" s="35" t="s">
        <v>349</v>
      </c>
    </row>
    <row r="271" spans="1:17" ht="12.75" customHeight="1">
      <c r="A271" s="18" t="s">
        <v>204</v>
      </c>
      <c r="B271" s="18"/>
      <c r="C271" s="538">
        <v>3.7999999999999999E-2</v>
      </c>
      <c r="E271" s="433">
        <v>0.8</v>
      </c>
    </row>
    <row r="272" spans="1:17" ht="12.75" customHeight="1">
      <c r="A272" s="18" t="s">
        <v>205</v>
      </c>
      <c r="B272" s="18"/>
      <c r="C272" s="538">
        <v>3.4000000000000002E-2</v>
      </c>
      <c r="E272" s="433">
        <v>0.65</v>
      </c>
    </row>
    <row r="273" spans="1:21" ht="12.75" customHeight="1">
      <c r="A273" s="18" t="s">
        <v>206</v>
      </c>
      <c r="B273" s="18"/>
      <c r="C273" s="538">
        <v>0.04</v>
      </c>
    </row>
    <row r="274" spans="1:21" ht="12.75" customHeight="1">
      <c r="I274" s="19"/>
      <c r="J274" s="19"/>
      <c r="K274" s="19"/>
      <c r="L274" s="19"/>
      <c r="M274" s="19"/>
    </row>
    <row r="275" spans="1:21" ht="12.75" customHeight="1">
      <c r="A275" s="20" t="s">
        <v>207</v>
      </c>
      <c r="B275" s="20"/>
      <c r="C275" s="19"/>
      <c r="E275" s="108" t="s">
        <v>208</v>
      </c>
      <c r="K275" s="19"/>
      <c r="L275" s="19"/>
      <c r="M275" s="19"/>
    </row>
    <row r="276" spans="1:21" ht="12.75" customHeight="1">
      <c r="A276" s="37" t="s">
        <v>209</v>
      </c>
      <c r="B276" s="35" t="s">
        <v>210</v>
      </c>
      <c r="C276" s="37">
        <v>1</v>
      </c>
      <c r="E276" s="37" t="s">
        <v>209</v>
      </c>
      <c r="F276" s="35" t="s">
        <v>210</v>
      </c>
      <c r="G276" s="37">
        <v>1</v>
      </c>
      <c r="K276" s="19"/>
      <c r="L276" s="19"/>
      <c r="M276" s="19"/>
    </row>
    <row r="277" spans="1:21" ht="12.75" customHeight="1">
      <c r="A277" s="37" t="s">
        <v>211</v>
      </c>
      <c r="B277" s="35" t="s">
        <v>212</v>
      </c>
      <c r="C277" s="37">
        <v>12</v>
      </c>
      <c r="E277" s="37" t="s">
        <v>213</v>
      </c>
      <c r="F277" s="35" t="s">
        <v>214</v>
      </c>
      <c r="G277" s="37">
        <v>2</v>
      </c>
      <c r="K277" s="24"/>
      <c r="L277" s="19"/>
      <c r="M277" s="19"/>
    </row>
    <row r="278" spans="1:21" ht="12.75" customHeight="1">
      <c r="A278" s="37" t="s">
        <v>215</v>
      </c>
      <c r="B278" s="35" t="s">
        <v>216</v>
      </c>
      <c r="C278" s="37">
        <v>24</v>
      </c>
      <c r="E278" s="37" t="s">
        <v>217</v>
      </c>
      <c r="F278" s="35" t="s">
        <v>218</v>
      </c>
      <c r="G278" s="37">
        <v>4</v>
      </c>
      <c r="K278" s="24"/>
      <c r="L278" s="19"/>
      <c r="M278" s="19"/>
    </row>
    <row r="279" spans="1:21" ht="12.75" customHeight="1">
      <c r="A279" s="37" t="s">
        <v>219</v>
      </c>
      <c r="B279" s="35" t="s">
        <v>220</v>
      </c>
      <c r="C279" s="37">
        <v>26</v>
      </c>
      <c r="E279" s="37" t="s">
        <v>211</v>
      </c>
      <c r="F279" s="35" t="s">
        <v>212</v>
      </c>
      <c r="G279" s="37">
        <v>12</v>
      </c>
      <c r="K279" s="19"/>
      <c r="L279" s="19"/>
      <c r="M279" s="19"/>
    </row>
    <row r="280" spans="1:21" ht="12.75" customHeight="1">
      <c r="A280" s="37" t="s">
        <v>221</v>
      </c>
      <c r="B280" s="35" t="s">
        <v>222</v>
      </c>
      <c r="C280" s="37">
        <v>52</v>
      </c>
      <c r="E280" s="37" t="s">
        <v>215</v>
      </c>
      <c r="F280" s="35" t="s">
        <v>216</v>
      </c>
      <c r="G280" s="37">
        <v>24</v>
      </c>
      <c r="K280" s="19"/>
      <c r="L280" s="19"/>
      <c r="M280" s="19"/>
    </row>
    <row r="281" spans="1:21" ht="12.75" customHeight="1">
      <c r="A281" s="18" t="s">
        <v>223</v>
      </c>
      <c r="B281" s="18"/>
      <c r="C281" s="19"/>
      <c r="E281" s="37" t="s">
        <v>219</v>
      </c>
      <c r="F281" s="35" t="s">
        <v>220</v>
      </c>
      <c r="G281" s="37">
        <v>26</v>
      </c>
      <c r="K281" s="19"/>
      <c r="L281" s="19"/>
      <c r="M281" s="19"/>
    </row>
    <row r="282" spans="1:21" ht="12.75" customHeight="1">
      <c r="A282" s="18"/>
      <c r="B282" s="18"/>
      <c r="C282" s="19"/>
      <c r="E282" s="37" t="s">
        <v>221</v>
      </c>
      <c r="F282" s="35" t="s">
        <v>222</v>
      </c>
      <c r="G282" s="37">
        <v>52</v>
      </c>
      <c r="K282" s="19"/>
      <c r="L282" s="19"/>
      <c r="M282" s="19"/>
    </row>
    <row r="283" spans="1:21" ht="12.75" customHeight="1">
      <c r="A283" s="34" t="s">
        <v>224</v>
      </c>
      <c r="B283" s="34" t="s">
        <v>13</v>
      </c>
      <c r="C283" s="108" t="s">
        <v>225</v>
      </c>
      <c r="D283" s="27" t="s">
        <v>226</v>
      </c>
      <c r="H283" s="109" t="s">
        <v>227</v>
      </c>
      <c r="J283" s="45"/>
      <c r="K283" s="45"/>
      <c r="L283" s="45"/>
      <c r="O283" s="45"/>
      <c r="P283" s="45"/>
      <c r="Q283" s="45"/>
    </row>
    <row r="284" spans="1:21" ht="12.75" customHeight="1">
      <c r="A284" s="20" t="s">
        <v>228</v>
      </c>
      <c r="B284" s="84">
        <f>+Worksheet!C50</f>
        <v>0</v>
      </c>
      <c r="C284" s="27" t="str">
        <f>+Worksheet!J20</f>
        <v>Brisbane</v>
      </c>
      <c r="D284" s="19" t="str">
        <f>+CONCATENATE(Worksheet!J16,"+",Worksheet!J17)</f>
        <v>2+0</v>
      </c>
      <c r="E284" s="35" t="e">
        <f>+VLOOKUP(B284,A287:A300,1,TRUE)</f>
        <v>#N/A</v>
      </c>
      <c r="F284" s="35" t="e">
        <f>+VLOOKUP(E284,A287:B301,2,FALSE)</f>
        <v>#N/A</v>
      </c>
      <c r="G284" s="35" t="str">
        <f>+CONCATENATE(C284,D284)</f>
        <v>Brisbane2+0</v>
      </c>
      <c r="H284" s="114" t="e">
        <f>+VLOOKUP(G284,LIVING,F284,FALSE)*52/12</f>
        <v>#REF!</v>
      </c>
      <c r="J284"/>
      <c r="K284"/>
      <c r="L284"/>
      <c r="O284"/>
      <c r="P284"/>
      <c r="Q284"/>
      <c r="R284"/>
      <c r="S284"/>
      <c r="T284"/>
      <c r="U284"/>
    </row>
    <row r="285" spans="1:21" ht="12.75" customHeight="1">
      <c r="A285" s="20"/>
      <c r="B285" s="84"/>
      <c r="C285" s="27"/>
      <c r="D285" s="19"/>
      <c r="H285" s="94"/>
      <c r="J285"/>
      <c r="K285"/>
      <c r="L285"/>
      <c r="O285"/>
      <c r="P285"/>
      <c r="Q285"/>
      <c r="R285"/>
      <c r="S285"/>
      <c r="T285"/>
      <c r="U285"/>
    </row>
    <row r="286" spans="1:21" ht="12.75" customHeight="1">
      <c r="A286" s="45" t="s">
        <v>229</v>
      </c>
      <c r="B286" s="45"/>
      <c r="C286" s="37"/>
      <c r="E286" s="38"/>
      <c r="H286" s="41"/>
      <c r="I286" s="861"/>
      <c r="J286" s="861"/>
      <c r="K286" s="861"/>
      <c r="L286" s="861"/>
    </row>
    <row r="287" spans="1:21" ht="12.75" customHeight="1">
      <c r="A287" s="139">
        <v>1</v>
      </c>
      <c r="B287" s="37">
        <v>2</v>
      </c>
      <c r="C287" s="37" t="s">
        <v>230</v>
      </c>
      <c r="E287" s="38"/>
      <c r="H287" s="41"/>
      <c r="I287" s="41"/>
      <c r="J287" s="85"/>
      <c r="K287" s="41"/>
      <c r="L287" s="85"/>
    </row>
    <row r="288" spans="1:21" ht="12.75" customHeight="1">
      <c r="A288" s="139">
        <f>+DropINTable!AC$11</f>
        <v>26000</v>
      </c>
      <c r="B288" s="37">
        <v>3</v>
      </c>
      <c r="C288" s="37" t="s">
        <v>231</v>
      </c>
      <c r="E288" s="38"/>
      <c r="H288" s="41"/>
      <c r="I288" s="85"/>
      <c r="J288" s="85"/>
      <c r="K288" s="85"/>
      <c r="L288" s="85"/>
    </row>
    <row r="289" spans="1:12" ht="12.75" customHeight="1">
      <c r="A289" s="139">
        <f>+DropINTable!AD$11</f>
        <v>39000</v>
      </c>
      <c r="B289" s="37">
        <v>4</v>
      </c>
      <c r="C289" s="37" t="s">
        <v>232</v>
      </c>
      <c r="E289" s="38"/>
      <c r="H289" s="41"/>
      <c r="I289" s="85"/>
      <c r="J289" s="85"/>
      <c r="K289" s="85"/>
      <c r="L289" s="85"/>
    </row>
    <row r="290" spans="1:12" ht="12.75" customHeight="1">
      <c r="A290" s="139">
        <f>+DropINTable!AE$11</f>
        <v>52000</v>
      </c>
      <c r="B290" s="37">
        <v>5</v>
      </c>
      <c r="C290" s="37" t="s">
        <v>233</v>
      </c>
      <c r="E290" s="38"/>
      <c r="H290" s="41"/>
      <c r="I290" s="85"/>
      <c r="J290" s="85"/>
      <c r="K290" s="85"/>
      <c r="L290" s="85"/>
    </row>
    <row r="291" spans="1:12" ht="12.75" customHeight="1">
      <c r="A291" s="139">
        <f>+DropINTable!AF$11</f>
        <v>66000</v>
      </c>
      <c r="B291" s="37">
        <v>6</v>
      </c>
      <c r="C291" s="37" t="s">
        <v>234</v>
      </c>
      <c r="E291" s="38"/>
      <c r="H291" s="41"/>
      <c r="I291" s="85"/>
      <c r="J291" s="85"/>
      <c r="K291" s="85"/>
      <c r="L291" s="85"/>
    </row>
    <row r="292" spans="1:12" ht="12.75" customHeight="1">
      <c r="A292" s="139">
        <f>+DropINTable!AG$11</f>
        <v>79000</v>
      </c>
      <c r="B292" s="37">
        <v>7</v>
      </c>
      <c r="C292" s="37" t="s">
        <v>235</v>
      </c>
      <c r="E292" s="38"/>
      <c r="H292" s="41"/>
      <c r="I292" s="85"/>
      <c r="J292" s="85"/>
      <c r="K292" s="85"/>
      <c r="L292" s="85"/>
    </row>
    <row r="293" spans="1:12" ht="12.75" customHeight="1">
      <c r="A293" s="139">
        <f>+DropINTable!AH$11</f>
        <v>105000</v>
      </c>
      <c r="B293" s="37">
        <v>8</v>
      </c>
      <c r="C293" s="37" t="s">
        <v>236</v>
      </c>
      <c r="E293" s="38"/>
    </row>
    <row r="294" spans="1:12" ht="12.75" customHeight="1">
      <c r="A294" s="139">
        <f>+DropINTable!AI$11</f>
        <v>131000</v>
      </c>
      <c r="B294" s="37">
        <v>9</v>
      </c>
      <c r="C294" s="37" t="s">
        <v>237</v>
      </c>
      <c r="E294" s="38"/>
    </row>
    <row r="295" spans="1:12" ht="12.75" customHeight="1">
      <c r="A295" s="139">
        <f>+DropINTable!AJ$11</f>
        <v>157000</v>
      </c>
      <c r="B295" s="37">
        <v>10</v>
      </c>
      <c r="C295" s="37" t="s">
        <v>238</v>
      </c>
      <c r="E295" s="38"/>
    </row>
    <row r="296" spans="1:12" ht="12.75" customHeight="1">
      <c r="A296" s="139">
        <f>+DropINTable!AK$11</f>
        <v>184000</v>
      </c>
      <c r="B296" s="37">
        <v>11</v>
      </c>
      <c r="C296" s="37" t="s">
        <v>239</v>
      </c>
      <c r="E296" s="38"/>
    </row>
    <row r="297" spans="1:12" ht="12.75" customHeight="1">
      <c r="A297" s="139">
        <f>+DropINTable!AL$11</f>
        <v>210000</v>
      </c>
      <c r="B297" s="37">
        <v>12</v>
      </c>
      <c r="C297" s="37" t="s">
        <v>240</v>
      </c>
      <c r="E297" s="38"/>
    </row>
    <row r="298" spans="1:12" ht="12.75" customHeight="1">
      <c r="A298" s="139">
        <f>+DropINTable!AM$11</f>
        <v>262000</v>
      </c>
      <c r="B298" s="37">
        <v>13</v>
      </c>
      <c r="C298" s="37" t="s">
        <v>241</v>
      </c>
    </row>
    <row r="299" spans="1:12" ht="12.75" customHeight="1">
      <c r="A299" s="139">
        <f>+DropINTable!AN$11</f>
        <v>328000</v>
      </c>
      <c r="B299" s="37">
        <v>14</v>
      </c>
      <c r="C299" s="37" t="s">
        <v>242</v>
      </c>
    </row>
    <row r="300" spans="1:12" ht="12.75" customHeight="1">
      <c r="A300" s="139">
        <f>+DropINTable!AO$11</f>
        <v>394000</v>
      </c>
      <c r="B300" s="37">
        <v>15</v>
      </c>
      <c r="C300" s="37" t="s">
        <v>243</v>
      </c>
    </row>
    <row r="301" spans="1:12" ht="12.75" customHeight="1">
      <c r="A301" s="148"/>
    </row>
    <row r="304" spans="1:12" ht="12.75" customHeight="1">
      <c r="A304" s="20" t="s">
        <v>244</v>
      </c>
      <c r="B304" s="20"/>
      <c r="H304" s="106"/>
      <c r="I304" s="427"/>
    </row>
    <row r="305" spans="1:12" ht="12.75" customHeight="1">
      <c r="A305" s="135">
        <v>18200</v>
      </c>
      <c r="B305" s="133">
        <v>0</v>
      </c>
      <c r="C305" s="136">
        <v>0</v>
      </c>
      <c r="D305" s="19"/>
      <c r="H305" s="103"/>
      <c r="I305" s="563"/>
    </row>
    <row r="306" spans="1:12" ht="12.75" customHeight="1">
      <c r="A306" s="135">
        <v>45000</v>
      </c>
      <c r="B306" s="133">
        <v>0.16</v>
      </c>
      <c r="C306" s="136">
        <f>+(A306-A305)*B306</f>
        <v>4288</v>
      </c>
      <c r="D306" s="19"/>
      <c r="H306" s="104"/>
      <c r="I306" s="104"/>
    </row>
    <row r="307" spans="1:12" ht="12.75" customHeight="1">
      <c r="A307" s="135">
        <v>135000</v>
      </c>
      <c r="B307" s="133">
        <v>0.3</v>
      </c>
      <c r="C307" s="136">
        <f>+((A307-A306)*B307)+C306</f>
        <v>31288</v>
      </c>
      <c r="D307" s="19"/>
      <c r="H307" s="104"/>
      <c r="I307" s="105"/>
    </row>
    <row r="308" spans="1:12" ht="12.75" customHeight="1">
      <c r="A308" s="135">
        <v>190000</v>
      </c>
      <c r="B308" s="133">
        <v>0.37</v>
      </c>
      <c r="C308" s="136">
        <f>+((A308-A307)*B308)+C307</f>
        <v>51638</v>
      </c>
      <c r="D308" s="19"/>
      <c r="H308" s="104"/>
      <c r="I308" s="105"/>
    </row>
    <row r="309" spans="1:12" ht="12.75" customHeight="1">
      <c r="A309" s="137"/>
      <c r="B309" s="133">
        <v>0.45</v>
      </c>
      <c r="C309" s="138"/>
      <c r="D309" s="19"/>
      <c r="E309" s="19"/>
      <c r="H309" s="104"/>
      <c r="I309" s="105"/>
      <c r="J309" s="19"/>
    </row>
    <row r="310" spans="1:12" ht="12.75" customHeight="1">
      <c r="A310" s="29" t="s">
        <v>91</v>
      </c>
      <c r="B310" s="29"/>
      <c r="C310" s="19"/>
      <c r="D310" s="19"/>
      <c r="E310" s="19"/>
      <c r="H310" s="104"/>
      <c r="I310" s="105"/>
      <c r="J310" s="19"/>
    </row>
    <row r="311" spans="1:12" ht="12.75" customHeight="1">
      <c r="A311" s="28" t="s">
        <v>245</v>
      </c>
      <c r="B311" s="134">
        <v>0.02</v>
      </c>
      <c r="C311" s="134"/>
      <c r="E311" s="19"/>
      <c r="H311" s="105"/>
      <c r="I311" s="427"/>
      <c r="J311" s="19"/>
    </row>
    <row r="312" spans="1:12" ht="12.75" customHeight="1">
      <c r="A312" s="28" t="s">
        <v>246</v>
      </c>
      <c r="B312" s="35"/>
      <c r="C312" s="19"/>
      <c r="E312" s="19"/>
      <c r="H312" s="105"/>
      <c r="I312" s="427"/>
      <c r="J312" s="19"/>
    </row>
    <row r="313" spans="1:12" ht="12.75" customHeight="1">
      <c r="A313" s="28" t="s">
        <v>74</v>
      </c>
      <c r="B313" s="133">
        <v>27222</v>
      </c>
      <c r="C313" s="19"/>
      <c r="E313" s="19"/>
      <c r="H313" s="43"/>
      <c r="I313" s="41"/>
    </row>
    <row r="314" spans="1:12" ht="12.75" customHeight="1">
      <c r="A314" s="28" t="s">
        <v>75</v>
      </c>
      <c r="B314" s="133">
        <v>34027</v>
      </c>
      <c r="C314" s="19"/>
      <c r="E314" s="19"/>
      <c r="H314" s="106"/>
      <c r="I314" s="100"/>
    </row>
    <row r="315" spans="1:12" ht="12.75" customHeight="1">
      <c r="H315" s="102"/>
      <c r="I315" s="101"/>
    </row>
    <row r="316" spans="1:12" ht="12.75" customHeight="1">
      <c r="A316" s="29" t="s">
        <v>247</v>
      </c>
      <c r="C316" s="35" t="str">
        <f>+Worksheet!J18</f>
        <v>No</v>
      </c>
      <c r="D316" s="45" t="e">
        <f>IF(C316="yes",0,IF(C316="N/A",0,+(C318*F318)))</f>
        <v>#N/A</v>
      </c>
      <c r="H316" s="102"/>
      <c r="I316" s="101"/>
    </row>
    <row r="317" spans="1:12" ht="12.75" customHeight="1">
      <c r="D317" s="35" t="s">
        <v>248</v>
      </c>
      <c r="E317" s="117">
        <f>+IF(Worksheet!J17=0,0,IF(Worksheet!J17=1,0,Worksheet!J17-1))</f>
        <v>0</v>
      </c>
      <c r="H317" s="42"/>
    </row>
    <row r="318" spans="1:12" ht="12.75" customHeight="1">
      <c r="A318" s="37" t="s">
        <v>249</v>
      </c>
      <c r="B318" s="37" t="str">
        <f>+IF(D284="1+0","Single","Family")</f>
        <v>Family</v>
      </c>
      <c r="C318" s="45">
        <f>+B284</f>
        <v>0</v>
      </c>
      <c r="D318" s="133">
        <v>1500</v>
      </c>
      <c r="E318" s="35" t="e">
        <f>+IF(B318="single",VLOOKUP(C318,A320:A324,1,TRUE),IF(B318="Family",VLOOKUP(C318,A327:A331,1,TRUE),0))</f>
        <v>#N/A</v>
      </c>
      <c r="F318" s="32" t="e">
        <f>+IF(B318="single",VLOOKUP(E318,A320:B324,2,TRUE),IF(B318="Family",VLOOKUP(E318,A327:B331,2,TRUE),0))</f>
        <v>#N/A</v>
      </c>
      <c r="H318" s="165"/>
      <c r="I318" s="427"/>
      <c r="J318" s="427"/>
      <c r="K318" s="427"/>
      <c r="L318" s="427"/>
    </row>
    <row r="319" spans="1:12" ht="12.75" customHeight="1">
      <c r="A319" s="37" t="s">
        <v>250</v>
      </c>
      <c r="B319" s="35"/>
      <c r="H319" s="862"/>
      <c r="I319" s="863"/>
      <c r="J319" s="863"/>
      <c r="K319" s="863"/>
      <c r="L319" s="863"/>
    </row>
    <row r="320" spans="1:12" ht="12.75" customHeight="1">
      <c r="A320" s="135">
        <v>1</v>
      </c>
      <c r="B320" s="143">
        <v>0</v>
      </c>
      <c r="C320" s="170"/>
      <c r="H320" s="104"/>
      <c r="I320" s="166"/>
      <c r="J320" s="166"/>
      <c r="K320" s="166"/>
      <c r="L320" s="166"/>
    </row>
    <row r="321" spans="1:15" ht="12.75" customHeight="1">
      <c r="A321" s="135">
        <v>101000</v>
      </c>
      <c r="B321" s="143">
        <v>0</v>
      </c>
      <c r="C321" s="170"/>
      <c r="H321" s="103"/>
      <c r="I321" s="166"/>
      <c r="J321" s="166"/>
      <c r="K321" s="166"/>
      <c r="L321" s="166"/>
    </row>
    <row r="322" spans="1:15" ht="12.75" customHeight="1">
      <c r="A322" s="135">
        <v>101001</v>
      </c>
      <c r="B322" s="143">
        <v>0.01</v>
      </c>
      <c r="C322" s="170"/>
      <c r="H322" s="103"/>
      <c r="I322" s="166"/>
      <c r="J322" s="166"/>
      <c r="K322" s="166"/>
      <c r="L322" s="166"/>
    </row>
    <row r="323" spans="1:15" ht="12.75" customHeight="1">
      <c r="A323" s="135">
        <v>118001</v>
      </c>
      <c r="B323" s="143">
        <v>1.2500000000000001E-2</v>
      </c>
      <c r="C323" s="170"/>
      <c r="H323" s="103"/>
      <c r="I323" s="167"/>
      <c r="J323" s="167"/>
      <c r="K323" s="168"/>
      <c r="L323" s="168"/>
    </row>
    <row r="324" spans="1:15" ht="12.75" customHeight="1">
      <c r="A324" s="135">
        <v>158001</v>
      </c>
      <c r="B324" s="143">
        <v>1.4999999999999999E-2</v>
      </c>
      <c r="C324" s="170"/>
      <c r="H324" s="169"/>
      <c r="I324" s="427"/>
      <c r="J324" s="427"/>
      <c r="K324" s="427"/>
      <c r="L324" s="427"/>
    </row>
    <row r="325" spans="1:15" ht="12.75" customHeight="1">
      <c r="G325" s="19"/>
      <c r="H325" s="101"/>
      <c r="I325" s="101"/>
      <c r="J325" s="19"/>
      <c r="K325" s="19"/>
      <c r="L325" s="19"/>
      <c r="M325" s="19"/>
      <c r="N325" s="19"/>
      <c r="O325" s="19"/>
    </row>
    <row r="326" spans="1:15" ht="12.75" customHeight="1">
      <c r="A326" s="37" t="s">
        <v>226</v>
      </c>
      <c r="G326" s="19"/>
      <c r="H326" s="101"/>
      <c r="I326" s="101"/>
      <c r="J326" s="19"/>
      <c r="K326" s="19"/>
      <c r="L326" s="19"/>
      <c r="M326" s="19"/>
      <c r="N326" s="19"/>
      <c r="O326" s="19"/>
    </row>
    <row r="327" spans="1:15" ht="12.75" customHeight="1">
      <c r="A327" s="135">
        <v>1</v>
      </c>
      <c r="B327" s="143">
        <v>0</v>
      </c>
      <c r="C327" s="170"/>
      <c r="D327" s="170"/>
      <c r="G327" s="19"/>
      <c r="H327" s="102"/>
      <c r="I327"/>
      <c r="J327" s="19"/>
      <c r="K327" s="19"/>
      <c r="L327" s="19"/>
      <c r="M327" s="19"/>
      <c r="N327" s="19"/>
      <c r="O327" s="19"/>
    </row>
    <row r="328" spans="1:15" ht="12.75" customHeight="1">
      <c r="A328" s="135">
        <v>202000</v>
      </c>
      <c r="B328" s="143">
        <v>0</v>
      </c>
      <c r="C328" s="170"/>
      <c r="D328" s="170"/>
      <c r="G328" s="19"/>
      <c r="H328" s="102"/>
      <c r="I328"/>
      <c r="J328" s="19"/>
      <c r="K328" s="19"/>
      <c r="L328" s="19"/>
      <c r="M328" s="19"/>
      <c r="N328" s="19"/>
      <c r="O328" s="19"/>
    </row>
    <row r="329" spans="1:15" ht="12.75" customHeight="1">
      <c r="A329" s="135">
        <v>202001</v>
      </c>
      <c r="B329" s="143">
        <v>0.01</v>
      </c>
      <c r="C329" s="170"/>
      <c r="D329" s="170"/>
      <c r="G329" s="19"/>
      <c r="H329" s="19"/>
      <c r="I329" s="19"/>
      <c r="J329" s="19"/>
      <c r="K329" s="19"/>
      <c r="L329" s="19"/>
      <c r="M329" s="19"/>
      <c r="N329" s="19"/>
      <c r="O329" s="19"/>
    </row>
    <row r="330" spans="1:15" ht="12.75" customHeight="1">
      <c r="A330" s="135">
        <v>236001</v>
      </c>
      <c r="B330" s="143">
        <v>1.2500000000000001E-2</v>
      </c>
      <c r="C330" s="170"/>
      <c r="D330" s="170"/>
      <c r="G330" s="19"/>
      <c r="H330" s="19"/>
      <c r="I330" s="19"/>
      <c r="J330" s="19"/>
      <c r="K330" s="19"/>
      <c r="L330" s="19"/>
      <c r="M330" s="19"/>
      <c r="N330" s="19"/>
      <c r="O330" s="19"/>
    </row>
    <row r="331" spans="1:15" ht="12.75" customHeight="1">
      <c r="A331" s="135">
        <v>316001</v>
      </c>
      <c r="B331" s="143">
        <v>1.4999999999999999E-2</v>
      </c>
      <c r="C331" s="170"/>
      <c r="D331" s="170"/>
      <c r="G331" s="19"/>
      <c r="H331" s="19"/>
      <c r="I331" s="19"/>
      <c r="J331" s="19"/>
      <c r="K331" s="19"/>
      <c r="L331" s="19"/>
      <c r="M331" s="19"/>
      <c r="N331" s="19"/>
      <c r="O331" s="19"/>
    </row>
    <row r="332" spans="1:15" ht="12.75" customHeight="1">
      <c r="F332" s="19"/>
      <c r="G332" s="19"/>
      <c r="H332" s="19"/>
      <c r="I332" s="19"/>
      <c r="J332" s="19"/>
      <c r="K332" s="19"/>
      <c r="L332" s="19"/>
      <c r="M332" s="19"/>
      <c r="N332" s="19"/>
      <c r="O332" s="19"/>
    </row>
    <row r="333" spans="1:15" ht="12.75" customHeight="1">
      <c r="F333" s="19"/>
      <c r="G333" s="19"/>
      <c r="H333" s="19"/>
      <c r="I333" s="19"/>
      <c r="J333" s="19"/>
      <c r="K333" s="19"/>
      <c r="L333" s="19"/>
      <c r="M333" s="19"/>
      <c r="N333" s="19"/>
      <c r="O333" s="19"/>
    </row>
    <row r="334" spans="1:15" ht="12.75" customHeight="1">
      <c r="A334" s="29" t="s">
        <v>1628</v>
      </c>
      <c r="B334" s="452"/>
      <c r="F334" s="19"/>
      <c r="G334" s="19"/>
      <c r="H334" s="19"/>
      <c r="I334" s="19"/>
      <c r="J334" s="19"/>
      <c r="K334" s="19"/>
      <c r="L334" s="19"/>
      <c r="M334" s="19"/>
      <c r="N334" s="19"/>
      <c r="O334" s="19"/>
    </row>
    <row r="335" spans="1:15" ht="12.75" customHeight="1">
      <c r="A335" s="139">
        <v>0</v>
      </c>
      <c r="B335" s="530">
        <v>0</v>
      </c>
      <c r="F335" s="19"/>
      <c r="G335" s="19"/>
      <c r="H335" s="19"/>
      <c r="I335" s="19"/>
      <c r="J335" s="19"/>
      <c r="K335" s="19"/>
      <c r="L335" s="19"/>
      <c r="M335" s="19"/>
      <c r="N335" s="19"/>
      <c r="O335" s="19"/>
    </row>
    <row r="336" spans="1:15" ht="12.75" customHeight="1">
      <c r="A336" s="139">
        <v>56156</v>
      </c>
      <c r="B336" s="530">
        <v>0.01</v>
      </c>
      <c r="F336" s="19"/>
      <c r="G336" s="19"/>
      <c r="H336" s="19"/>
      <c r="I336" s="19"/>
      <c r="J336" s="19"/>
      <c r="K336" s="19"/>
      <c r="L336" s="19"/>
      <c r="M336" s="19"/>
      <c r="N336" s="19"/>
      <c r="O336" s="19"/>
    </row>
    <row r="337" spans="1:15" ht="12.75" customHeight="1">
      <c r="A337" s="139">
        <v>64838</v>
      </c>
      <c r="B337" s="530">
        <v>0.02</v>
      </c>
      <c r="F337" s="19"/>
      <c r="G337" s="19"/>
      <c r="H337" s="19"/>
      <c r="I337" s="19"/>
      <c r="J337" s="19"/>
      <c r="K337" s="19"/>
      <c r="L337" s="19"/>
      <c r="M337" s="19"/>
      <c r="N337" s="19"/>
      <c r="O337" s="19"/>
    </row>
    <row r="338" spans="1:15" ht="12.75" customHeight="1">
      <c r="A338" s="139">
        <v>68727</v>
      </c>
      <c r="B338" s="530">
        <v>2.5000000000000001E-2</v>
      </c>
      <c r="F338" s="19"/>
      <c r="G338" s="19"/>
      <c r="H338" s="19"/>
      <c r="I338" s="19"/>
      <c r="J338" s="19"/>
      <c r="K338" s="19"/>
      <c r="L338" s="19"/>
      <c r="M338" s="19"/>
      <c r="N338" s="19"/>
      <c r="O338" s="19"/>
    </row>
    <row r="339" spans="1:15" ht="12.75" customHeight="1">
      <c r="A339" s="139">
        <v>72852</v>
      </c>
      <c r="B339" s="530">
        <v>0.03</v>
      </c>
      <c r="F339" s="19"/>
      <c r="G339" s="19"/>
      <c r="H339" s="19"/>
      <c r="I339" s="19"/>
      <c r="J339" s="19"/>
      <c r="K339" s="19"/>
      <c r="L339" s="19"/>
      <c r="M339" s="19"/>
      <c r="N339" s="19"/>
      <c r="O339" s="19"/>
    </row>
    <row r="340" spans="1:15" ht="12.75" customHeight="1">
      <c r="A340" s="139">
        <v>77223</v>
      </c>
      <c r="B340" s="530">
        <v>3.5000000000000003E-2</v>
      </c>
      <c r="F340" s="19"/>
      <c r="G340" s="19"/>
      <c r="H340" s="19"/>
      <c r="I340" s="19"/>
      <c r="J340" s="19"/>
      <c r="K340" s="19"/>
      <c r="L340" s="19"/>
      <c r="M340" s="19"/>
      <c r="N340" s="19"/>
      <c r="O340" s="19"/>
    </row>
    <row r="341" spans="1:15" ht="12.75" customHeight="1">
      <c r="A341" s="139">
        <v>81856</v>
      </c>
      <c r="B341" s="530">
        <v>0.04</v>
      </c>
      <c r="F341" s="19"/>
      <c r="G341" s="19"/>
      <c r="H341" s="19"/>
      <c r="I341" s="19"/>
      <c r="J341" s="19"/>
      <c r="K341" s="19"/>
      <c r="L341" s="19"/>
      <c r="M341" s="19"/>
      <c r="N341" s="19"/>
      <c r="O341" s="19"/>
    </row>
    <row r="342" spans="1:15" ht="12.75" customHeight="1">
      <c r="A342" s="139">
        <v>86767</v>
      </c>
      <c r="B342" s="530">
        <v>4.4999999999999998E-2</v>
      </c>
      <c r="F342" s="19"/>
      <c r="G342" s="19"/>
      <c r="H342" s="19"/>
      <c r="I342" s="19"/>
      <c r="J342" s="19"/>
      <c r="K342" s="19"/>
      <c r="L342" s="19"/>
      <c r="M342" s="19"/>
      <c r="N342" s="19"/>
      <c r="O342" s="19"/>
    </row>
    <row r="343" spans="1:15" ht="12.75" customHeight="1">
      <c r="A343" s="139">
        <v>91974</v>
      </c>
      <c r="B343" s="530">
        <v>0.05</v>
      </c>
      <c r="F343" s="19"/>
      <c r="G343" s="19"/>
      <c r="H343" s="19"/>
      <c r="I343" s="19"/>
      <c r="J343" s="19"/>
      <c r="K343" s="19"/>
      <c r="L343" s="19"/>
      <c r="M343" s="19"/>
      <c r="N343" s="19"/>
      <c r="O343" s="19"/>
    </row>
    <row r="344" spans="1:15" ht="12.75" customHeight="1">
      <c r="A344" s="139">
        <v>97492</v>
      </c>
      <c r="B344" s="530">
        <v>5.5E-2</v>
      </c>
      <c r="F344" s="19"/>
      <c r="G344" s="19"/>
      <c r="H344" s="19"/>
      <c r="I344" s="19"/>
      <c r="J344" s="19"/>
      <c r="K344" s="19"/>
      <c r="L344" s="19"/>
      <c r="M344" s="19"/>
      <c r="N344" s="19"/>
      <c r="O344" s="19"/>
    </row>
    <row r="345" spans="1:15" ht="12.75" customHeight="1">
      <c r="A345" s="139">
        <v>103342</v>
      </c>
      <c r="B345" s="530">
        <v>0.06</v>
      </c>
      <c r="F345" s="19"/>
      <c r="G345" s="19"/>
      <c r="H345" s="19"/>
      <c r="I345" s="19"/>
      <c r="J345" s="19"/>
      <c r="K345" s="19"/>
      <c r="L345" s="19"/>
      <c r="M345" s="19"/>
      <c r="N345" s="19"/>
      <c r="O345" s="19"/>
    </row>
    <row r="346" spans="1:15" ht="12.75" customHeight="1">
      <c r="A346" s="139">
        <v>109543</v>
      </c>
      <c r="B346" s="530">
        <v>6.5000000000000002E-2</v>
      </c>
      <c r="F346" s="19"/>
      <c r="G346" s="19"/>
      <c r="H346" s="19"/>
      <c r="I346" s="19"/>
      <c r="J346" s="19"/>
      <c r="K346" s="19"/>
      <c r="L346" s="19"/>
      <c r="M346" s="19"/>
      <c r="N346" s="19"/>
      <c r="O346" s="19"/>
    </row>
    <row r="347" spans="1:15" ht="12.75" customHeight="1">
      <c r="A347" s="139">
        <v>116116</v>
      </c>
      <c r="B347" s="530">
        <v>7.0000000000000007E-2</v>
      </c>
      <c r="F347" s="19"/>
      <c r="G347" s="19"/>
      <c r="H347" s="19"/>
      <c r="I347" s="19"/>
      <c r="J347" s="19"/>
      <c r="K347" s="19"/>
      <c r="L347" s="19"/>
      <c r="M347" s="19"/>
      <c r="N347" s="19"/>
      <c r="O347" s="19"/>
    </row>
    <row r="348" spans="1:15" ht="12.75" customHeight="1">
      <c r="A348" s="139">
        <v>123082</v>
      </c>
      <c r="B348" s="530">
        <v>7.4999999999999997E-2</v>
      </c>
      <c r="F348" s="19"/>
      <c r="G348" s="19"/>
      <c r="H348" s="19"/>
      <c r="I348" s="19"/>
      <c r="J348" s="19"/>
      <c r="K348" s="19"/>
      <c r="L348" s="19"/>
      <c r="M348" s="19"/>
      <c r="N348" s="19"/>
      <c r="O348" s="19"/>
    </row>
    <row r="349" spans="1:15" ht="12.75" customHeight="1">
      <c r="A349" s="139">
        <v>130467</v>
      </c>
      <c r="B349" s="530">
        <v>0.08</v>
      </c>
      <c r="F349" s="19"/>
      <c r="G349" s="19"/>
      <c r="H349" s="19"/>
      <c r="I349" s="19"/>
      <c r="J349" s="19"/>
      <c r="K349" s="19"/>
      <c r="L349" s="19"/>
      <c r="M349" s="19"/>
      <c r="N349" s="19"/>
      <c r="O349" s="19"/>
    </row>
    <row r="350" spans="1:15" ht="12.75" customHeight="1">
      <c r="A350" s="139">
        <v>138295</v>
      </c>
      <c r="B350" s="530">
        <v>8.5000000000000006E-2</v>
      </c>
      <c r="F350" s="19"/>
      <c r="G350" s="19"/>
      <c r="H350" s="19"/>
      <c r="I350" s="19"/>
      <c r="J350" s="19"/>
      <c r="K350" s="19"/>
      <c r="L350" s="19"/>
      <c r="M350" s="19"/>
      <c r="N350" s="19"/>
      <c r="O350" s="19"/>
    </row>
    <row r="351" spans="1:15" ht="12.75" customHeight="1">
      <c r="A351" s="139">
        <v>146594</v>
      </c>
      <c r="B351" s="530">
        <v>0.09</v>
      </c>
      <c r="F351" s="19"/>
      <c r="G351" s="19"/>
      <c r="H351" s="19"/>
      <c r="I351" s="19"/>
      <c r="J351" s="19"/>
      <c r="K351" s="19"/>
      <c r="L351" s="19"/>
      <c r="M351" s="19"/>
      <c r="N351" s="19"/>
      <c r="O351" s="19"/>
    </row>
    <row r="352" spans="1:15" ht="12.75" customHeight="1">
      <c r="A352" s="139">
        <v>155389</v>
      </c>
      <c r="B352" s="530">
        <v>9.5000000000000001E-2</v>
      </c>
      <c r="F352" s="19"/>
      <c r="G352" s="19"/>
      <c r="H352" s="19"/>
      <c r="I352" s="19"/>
      <c r="J352" s="19"/>
      <c r="K352" s="19"/>
      <c r="L352" s="19"/>
      <c r="M352" s="19"/>
      <c r="N352" s="19"/>
      <c r="O352" s="19"/>
    </row>
    <row r="353" spans="1:15" ht="12.75" customHeight="1">
      <c r="A353" s="139">
        <v>164712</v>
      </c>
      <c r="B353" s="530">
        <v>0.1</v>
      </c>
      <c r="F353" s="19"/>
      <c r="G353" s="19"/>
      <c r="H353" s="19"/>
      <c r="I353" s="19"/>
      <c r="J353" s="19"/>
      <c r="K353" s="19"/>
      <c r="L353" s="19"/>
      <c r="M353" s="19"/>
      <c r="N353" s="19"/>
      <c r="O353" s="19"/>
    </row>
    <row r="354" spans="1:15" ht="12.75" customHeight="1">
      <c r="A354" s="148"/>
      <c r="F354" s="19"/>
      <c r="G354" s="19"/>
      <c r="H354" s="19"/>
      <c r="I354" s="19"/>
      <c r="J354" s="19"/>
      <c r="K354" s="19"/>
      <c r="L354" s="19"/>
      <c r="M354" s="19"/>
      <c r="N354" s="19"/>
      <c r="O354" s="19"/>
    </row>
    <row r="355" spans="1:15" ht="12.75" customHeight="1">
      <c r="F355" s="19"/>
      <c r="G355" s="19"/>
      <c r="H355" s="19"/>
      <c r="I355" s="19"/>
      <c r="J355" s="19"/>
      <c r="K355" s="19"/>
      <c r="L355" s="19"/>
      <c r="M355" s="19"/>
      <c r="N355" s="19"/>
      <c r="O355" s="19"/>
    </row>
    <row r="356" spans="1:15" ht="12.75" customHeight="1">
      <c r="F356" s="19"/>
      <c r="G356" s="19"/>
      <c r="H356" s="19"/>
      <c r="I356" s="19"/>
      <c r="J356" s="19"/>
      <c r="K356" s="19"/>
      <c r="L356" s="19"/>
      <c r="M356" s="19"/>
      <c r="N356" s="19"/>
      <c r="O356" s="19"/>
    </row>
    <row r="357" spans="1:15" ht="12.75" customHeight="1">
      <c r="A357" s="34" t="s">
        <v>5</v>
      </c>
      <c r="B357" s="34"/>
      <c r="F357" s="19"/>
      <c r="G357" s="19"/>
      <c r="H357" s="19"/>
      <c r="I357" s="19"/>
      <c r="J357" s="19"/>
      <c r="N357" s="19"/>
      <c r="O357" s="19"/>
    </row>
    <row r="358" spans="1:15" ht="12.75" customHeight="1">
      <c r="A358" s="18" t="s">
        <v>251</v>
      </c>
      <c r="B358" s="18"/>
      <c r="C358" s="35" t="s">
        <v>11</v>
      </c>
      <c r="F358" s="19"/>
      <c r="G358" s="19"/>
      <c r="H358" s="19"/>
      <c r="I358" s="19"/>
      <c r="J358" s="19"/>
      <c r="N358" s="19"/>
      <c r="O358" s="19"/>
    </row>
    <row r="359" spans="1:15" ht="12.75" customHeight="1">
      <c r="A359" s="18" t="s">
        <v>252</v>
      </c>
      <c r="B359" s="18"/>
      <c r="C359" s="35" t="s">
        <v>12</v>
      </c>
      <c r="F359" s="19"/>
      <c r="G359" s="19"/>
      <c r="H359" s="19"/>
      <c r="I359" s="19"/>
      <c r="J359" s="19"/>
      <c r="N359" s="19"/>
      <c r="O359" s="19"/>
    </row>
    <row r="360" spans="1:15" ht="12.75" customHeight="1">
      <c r="A360" s="18" t="s">
        <v>253</v>
      </c>
      <c r="B360" s="18"/>
      <c r="F360" s="19"/>
      <c r="G360" s="19"/>
      <c r="H360" s="19"/>
      <c r="I360" s="19"/>
      <c r="J360" s="19"/>
      <c r="N360" s="19"/>
      <c r="O360" s="19"/>
    </row>
    <row r="361" spans="1:15" ht="12.75" customHeight="1">
      <c r="A361" s="18" t="s">
        <v>254</v>
      </c>
      <c r="B361" s="18"/>
      <c r="F361" s="19"/>
      <c r="G361" s="19"/>
      <c r="H361" s="19"/>
      <c r="I361" s="19"/>
      <c r="J361" s="19"/>
      <c r="N361" s="19"/>
      <c r="O361" s="19"/>
    </row>
    <row r="362" spans="1:15" ht="12.75" customHeight="1">
      <c r="A362" s="18" t="s">
        <v>255</v>
      </c>
      <c r="B362" s="18"/>
      <c r="F362" s="19"/>
      <c r="G362" s="19"/>
      <c r="H362" s="19"/>
      <c r="I362" s="19"/>
      <c r="J362" s="19"/>
      <c r="N362" s="19"/>
      <c r="O362" s="19"/>
    </row>
    <row r="363" spans="1:15" ht="12.75" customHeight="1">
      <c r="F363" s="19"/>
      <c r="G363" s="19"/>
      <c r="H363" s="19"/>
      <c r="I363" s="19"/>
      <c r="J363" s="19"/>
      <c r="N363" s="19"/>
      <c r="O363" s="19"/>
    </row>
    <row r="364" spans="1:15" ht="12.75" customHeight="1">
      <c r="A364" s="20" t="s">
        <v>256</v>
      </c>
      <c r="B364" s="20"/>
      <c r="F364" s="19"/>
      <c r="G364" s="19"/>
      <c r="H364" s="19"/>
      <c r="I364" s="19"/>
      <c r="J364" s="19"/>
      <c r="N364" s="19"/>
      <c r="O364" s="19"/>
    </row>
    <row r="365" spans="1:15" ht="12.75" customHeight="1">
      <c r="A365" s="18" t="s">
        <v>257</v>
      </c>
      <c r="B365" s="18"/>
      <c r="C365" s="30">
        <v>0.5</v>
      </c>
      <c r="D365" s="19"/>
      <c r="E365" s="19"/>
      <c r="F365" s="19"/>
      <c r="G365" s="19"/>
      <c r="H365" s="19"/>
      <c r="I365" s="19"/>
      <c r="J365" s="19"/>
      <c r="N365" s="19"/>
      <c r="O365" s="19"/>
    </row>
    <row r="366" spans="1:15" ht="12.75" customHeight="1">
      <c r="A366" s="18" t="s">
        <v>258</v>
      </c>
      <c r="B366" s="18"/>
      <c r="C366" s="30">
        <v>0.8</v>
      </c>
      <c r="D366" s="19"/>
      <c r="E366" s="19"/>
      <c r="F366" s="19"/>
      <c r="G366" s="19"/>
      <c r="H366" s="19"/>
      <c r="I366" s="19"/>
      <c r="J366" s="19"/>
      <c r="N366" s="19"/>
      <c r="O366" s="19"/>
    </row>
    <row r="367" spans="1:15" ht="12.75" customHeight="1">
      <c r="A367" s="18"/>
      <c r="B367" s="18"/>
      <c r="C367" s="367"/>
      <c r="D367" s="19"/>
      <c r="E367" s="19"/>
      <c r="F367" s="19"/>
      <c r="G367" s="19"/>
      <c r="H367" s="19"/>
      <c r="I367" s="19"/>
      <c r="J367" s="19"/>
      <c r="N367" s="19"/>
      <c r="O367" s="19"/>
    </row>
    <row r="368" spans="1:15" ht="12.75" customHeight="1">
      <c r="A368" s="20" t="s">
        <v>26</v>
      </c>
      <c r="B368" s="20"/>
      <c r="C368" s="367"/>
      <c r="D368" s="19"/>
      <c r="E368" s="19"/>
      <c r="F368" s="19"/>
      <c r="G368" s="19"/>
      <c r="H368" s="32"/>
      <c r="I368" s="38"/>
      <c r="J368" s="19"/>
      <c r="K368" s="19"/>
      <c r="N368" s="19"/>
      <c r="O368" s="19"/>
    </row>
    <row r="369" spans="1:15" ht="12.75" customHeight="1">
      <c r="A369" s="18" t="s">
        <v>259</v>
      </c>
      <c r="B369" s="18"/>
      <c r="C369" s="30">
        <v>0.8</v>
      </c>
      <c r="D369" s="19"/>
      <c r="E369" s="19"/>
      <c r="F369" s="19"/>
      <c r="G369" s="38"/>
      <c r="H369" s="32"/>
      <c r="I369" s="38"/>
      <c r="J369" s="19"/>
      <c r="K369" s="19"/>
      <c r="N369" s="19"/>
      <c r="O369" s="19"/>
    </row>
    <row r="370" spans="1:15" ht="12.75" customHeight="1">
      <c r="A370" s="18" t="s">
        <v>260</v>
      </c>
      <c r="B370" s="18"/>
      <c r="C370" s="30">
        <v>1</v>
      </c>
      <c r="D370" s="19"/>
      <c r="E370" s="19"/>
      <c r="F370" s="19"/>
      <c r="G370" s="38"/>
      <c r="H370" s="32"/>
      <c r="I370" s="38"/>
      <c r="J370" s="31"/>
      <c r="K370" s="31"/>
      <c r="L370" s="19"/>
      <c r="N370" s="19"/>
      <c r="O370" s="19"/>
    </row>
    <row r="371" spans="1:15" ht="12.75" customHeight="1">
      <c r="A371" s="18"/>
      <c r="B371" s="18"/>
      <c r="C371" s="367"/>
      <c r="D371" s="19"/>
      <c r="E371" s="19"/>
      <c r="F371" s="19"/>
      <c r="G371" s="38"/>
      <c r="H371" s="32"/>
      <c r="I371" s="38"/>
      <c r="J371" s="31"/>
      <c r="K371" s="31"/>
      <c r="L371" s="19"/>
      <c r="N371" s="19"/>
      <c r="O371" s="19"/>
    </row>
    <row r="372" spans="1:15" ht="12.75" customHeight="1">
      <c r="A372" s="20" t="s">
        <v>261</v>
      </c>
      <c r="B372" s="20"/>
      <c r="C372" s="367"/>
      <c r="D372" s="19"/>
      <c r="E372" s="19"/>
      <c r="F372" s="19"/>
      <c r="G372" s="38"/>
      <c r="H372" s="32"/>
      <c r="I372" s="38"/>
      <c r="J372" s="31"/>
      <c r="K372" s="31"/>
      <c r="L372" s="19"/>
      <c r="N372" s="19"/>
      <c r="O372" s="19"/>
    </row>
    <row r="373" spans="1:15" ht="12.75" customHeight="1">
      <c r="A373" s="18"/>
      <c r="B373" s="18"/>
      <c r="C373" s="367" t="s">
        <v>262</v>
      </c>
      <c r="D373" s="367" t="s">
        <v>262</v>
      </c>
      <c r="E373" s="367" t="s">
        <v>262</v>
      </c>
      <c r="F373" s="19"/>
      <c r="G373" s="38"/>
      <c r="H373" s="32"/>
      <c r="I373" s="38"/>
      <c r="J373" s="31"/>
      <c r="K373" s="31"/>
      <c r="L373" s="19"/>
      <c r="N373" s="19"/>
      <c r="O373" s="19"/>
    </row>
    <row r="374" spans="1:15" ht="12.75" customHeight="1">
      <c r="A374" s="18"/>
      <c r="B374" s="18"/>
      <c r="C374" s="30">
        <v>0.5</v>
      </c>
      <c r="D374" s="19" t="s">
        <v>263</v>
      </c>
      <c r="E374" s="19"/>
      <c r="F374" s="19"/>
      <c r="G374" s="38"/>
      <c r="H374" s="32"/>
      <c r="I374" s="38"/>
      <c r="J374" s="31"/>
      <c r="K374" s="31"/>
      <c r="L374" s="19"/>
      <c r="N374" s="19"/>
      <c r="O374" s="19"/>
    </row>
    <row r="375" spans="1:15" ht="12.75" customHeight="1">
      <c r="A375" s="18"/>
      <c r="B375" s="18"/>
      <c r="C375" s="30"/>
      <c r="D375" s="19"/>
      <c r="E375" s="19"/>
      <c r="G375" s="38"/>
      <c r="H375" s="32"/>
      <c r="I375" s="38"/>
      <c r="J375" s="31"/>
      <c r="K375" s="31"/>
      <c r="L375" s="19"/>
      <c r="N375" s="19"/>
      <c r="O375" s="19"/>
    </row>
    <row r="376" spans="1:15" ht="12.75" customHeight="1">
      <c r="A376" s="20" t="s">
        <v>264</v>
      </c>
      <c r="B376" s="18"/>
      <c r="C376" s="132">
        <v>500</v>
      </c>
      <c r="D376" s="19"/>
      <c r="E376" s="19"/>
      <c r="G376" s="38"/>
      <c r="H376" s="32"/>
      <c r="I376" s="38"/>
      <c r="J376" s="31"/>
      <c r="K376" s="31"/>
      <c r="L376" s="19"/>
      <c r="N376" s="19"/>
      <c r="O376" s="19"/>
    </row>
    <row r="377" spans="1:15" ht="12.75" customHeight="1">
      <c r="A377" s="18"/>
      <c r="B377" s="18"/>
      <c r="C377" s="30"/>
      <c r="D377" s="19"/>
      <c r="E377" s="19"/>
      <c r="G377" s="38"/>
      <c r="H377" s="32"/>
      <c r="I377" s="38"/>
      <c r="J377" s="31"/>
      <c r="K377" s="31"/>
      <c r="L377" s="19"/>
      <c r="N377" s="19"/>
      <c r="O377" s="19"/>
    </row>
    <row r="378" spans="1:15" ht="12.75" customHeight="1">
      <c r="A378" s="20" t="s">
        <v>265</v>
      </c>
      <c r="B378" s="20"/>
      <c r="C378" s="30"/>
      <c r="D378" s="19"/>
      <c r="E378" s="19"/>
      <c r="F378" s="39"/>
      <c r="G378" s="38"/>
      <c r="H378" s="32"/>
      <c r="I378" s="38"/>
      <c r="J378" s="31"/>
      <c r="K378" s="31"/>
      <c r="L378" s="19"/>
      <c r="N378" s="19"/>
      <c r="O378" s="19"/>
    </row>
    <row r="379" spans="1:15" ht="12.75" customHeight="1">
      <c r="A379" s="18" t="s">
        <v>255</v>
      </c>
      <c r="B379" s="18"/>
      <c r="C379" s="30" t="s">
        <v>69</v>
      </c>
      <c r="D379" s="19"/>
      <c r="E379" s="19"/>
      <c r="F379" s="39"/>
      <c r="G379" s="38"/>
      <c r="H379" s="32"/>
      <c r="I379" s="38"/>
      <c r="J379" s="31"/>
      <c r="K379" s="31"/>
      <c r="L379" s="19"/>
      <c r="N379" s="19"/>
      <c r="O379" s="19"/>
    </row>
    <row r="380" spans="1:15" ht="12.75" customHeight="1">
      <c r="A380" s="18" t="s">
        <v>266</v>
      </c>
      <c r="B380" s="18"/>
      <c r="C380" s="30" t="s">
        <v>267</v>
      </c>
      <c r="D380" s="19"/>
      <c r="E380" s="19"/>
      <c r="F380" s="39"/>
      <c r="G380" s="38"/>
      <c r="H380" s="32"/>
      <c r="I380" s="19"/>
      <c r="J380" s="19"/>
      <c r="K380" s="19"/>
      <c r="L380" s="19"/>
      <c r="M380" s="19"/>
      <c r="N380" s="19"/>
      <c r="O380" s="19"/>
    </row>
    <row r="381" spans="1:15" ht="12.75" customHeight="1">
      <c r="A381" s="18" t="s">
        <v>268</v>
      </c>
      <c r="B381" s="18"/>
      <c r="C381" s="30"/>
      <c r="D381" s="19"/>
      <c r="E381" s="19"/>
      <c r="F381" s="39"/>
      <c r="G381" s="19"/>
      <c r="H381" s="32"/>
      <c r="I381" s="19"/>
      <c r="J381" s="19"/>
      <c r="K381" s="19"/>
      <c r="L381" s="19"/>
      <c r="M381" s="19"/>
      <c r="N381" s="19"/>
      <c r="O381" s="19"/>
    </row>
    <row r="382" spans="1:15" ht="12.75" customHeight="1">
      <c r="A382" s="18" t="s">
        <v>269</v>
      </c>
      <c r="B382" s="18"/>
      <c r="C382" s="30"/>
      <c r="D382" s="19"/>
      <c r="E382" s="19"/>
      <c r="F382" s="39"/>
      <c r="G382" s="19"/>
      <c r="H382" s="19"/>
      <c r="I382" s="19"/>
      <c r="J382" s="19"/>
      <c r="K382" s="19"/>
      <c r="L382" s="19"/>
      <c r="M382" s="19"/>
      <c r="N382" s="19"/>
      <c r="O382" s="19"/>
    </row>
    <row r="383" spans="1:15" ht="12.75" customHeight="1">
      <c r="A383" s="18" t="s">
        <v>350</v>
      </c>
      <c r="B383" s="18"/>
      <c r="C383" s="30"/>
      <c r="D383" s="19"/>
      <c r="E383" s="19"/>
      <c r="F383" s="39"/>
      <c r="G383" s="19"/>
      <c r="H383" s="19"/>
      <c r="I383" s="19"/>
      <c r="J383" s="19"/>
      <c r="K383" s="19"/>
      <c r="L383" s="19"/>
      <c r="M383" s="19"/>
      <c r="N383" s="19"/>
      <c r="O383" s="19"/>
    </row>
    <row r="384" spans="1:15" ht="12.75" customHeight="1">
      <c r="A384" s="27" t="s">
        <v>126</v>
      </c>
      <c r="B384" s="27"/>
      <c r="C384" s="24"/>
      <c r="D384" s="19"/>
      <c r="E384" s="19"/>
      <c r="F384" s="39"/>
      <c r="G384" s="19"/>
      <c r="H384" s="19"/>
      <c r="I384" s="19"/>
      <c r="J384" s="19"/>
      <c r="K384" s="19"/>
      <c r="L384" s="19"/>
      <c r="M384" s="19"/>
      <c r="N384" s="19"/>
      <c r="O384" s="19"/>
    </row>
    <row r="385" spans="1:15" ht="12.75" customHeight="1">
      <c r="A385" s="18" t="s">
        <v>270</v>
      </c>
      <c r="B385" s="18"/>
      <c r="C385" s="367"/>
      <c r="D385" s="19"/>
      <c r="E385" s="19"/>
      <c r="F385" s="39"/>
      <c r="G385" s="19"/>
      <c r="H385" s="19"/>
      <c r="I385" s="19"/>
      <c r="J385" s="19"/>
      <c r="K385" s="19"/>
      <c r="L385" s="19"/>
      <c r="M385" s="19"/>
      <c r="N385" s="19"/>
      <c r="O385" s="19"/>
    </row>
    <row r="386" spans="1:15" ht="12.75" customHeight="1">
      <c r="A386" s="18" t="s">
        <v>271</v>
      </c>
      <c r="B386" s="18"/>
      <c r="C386" s="367"/>
      <c r="D386" s="19"/>
      <c r="E386" s="19"/>
      <c r="F386" s="39"/>
      <c r="G386" s="19"/>
      <c r="H386" s="19"/>
      <c r="I386" s="19"/>
    </row>
    <row r="387" spans="1:15" ht="12.75" customHeight="1">
      <c r="A387" s="18" t="s">
        <v>223</v>
      </c>
      <c r="B387" s="18"/>
      <c r="C387" s="19"/>
      <c r="D387" s="19"/>
      <c r="F387" s="19"/>
      <c r="I387" s="19"/>
    </row>
    <row r="388" spans="1:15" ht="12.75" customHeight="1">
      <c r="A388" s="27" t="s">
        <v>272</v>
      </c>
      <c r="B388" s="27"/>
      <c r="C388" s="19"/>
      <c r="D388" s="19"/>
      <c r="F388" s="19"/>
      <c r="I388" s="19"/>
    </row>
    <row r="389" spans="1:15" ht="12.75" customHeight="1">
      <c r="A389" s="19" t="s">
        <v>273</v>
      </c>
      <c r="B389" s="19"/>
      <c r="C389" s="19"/>
      <c r="D389" s="19"/>
      <c r="F389" s="19"/>
      <c r="I389" s="19"/>
    </row>
    <row r="390" spans="1:15" ht="12.75" customHeight="1">
      <c r="A390" s="19" t="s">
        <v>274</v>
      </c>
      <c r="B390" s="19"/>
      <c r="C390" s="19"/>
      <c r="D390" s="19"/>
      <c r="F390" s="19"/>
      <c r="I390" s="19"/>
    </row>
    <row r="391" spans="1:15" ht="12.75" customHeight="1">
      <c r="A391" s="19" t="s">
        <v>275</v>
      </c>
      <c r="B391" s="19"/>
      <c r="C391" s="19"/>
      <c r="D391" s="19"/>
      <c r="F391" s="19"/>
      <c r="I391" s="19"/>
    </row>
    <row r="392" spans="1:15" ht="12.75" customHeight="1">
      <c r="A392" s="18" t="s">
        <v>351</v>
      </c>
      <c r="B392" s="18"/>
      <c r="C392" s="19"/>
      <c r="D392" s="19"/>
      <c r="F392" s="19"/>
      <c r="G392" s="22"/>
      <c r="H392" s="19"/>
      <c r="I392" s="19"/>
    </row>
    <row r="393" spans="1:15" ht="12.75" customHeight="1">
      <c r="A393" s="20" t="s">
        <v>276</v>
      </c>
      <c r="B393" s="20"/>
      <c r="C393" s="19"/>
      <c r="D393" s="19"/>
      <c r="F393" s="19"/>
      <c r="G393" s="22"/>
      <c r="H393" s="19"/>
      <c r="I393" s="19"/>
    </row>
    <row r="394" spans="1:15" ht="12.75" customHeight="1">
      <c r="A394" s="18" t="s">
        <v>277</v>
      </c>
      <c r="B394" s="18"/>
      <c r="C394" s="19"/>
      <c r="D394" s="19"/>
      <c r="F394" s="19"/>
      <c r="G394" s="22"/>
      <c r="H394" s="19"/>
      <c r="I394" s="19"/>
    </row>
    <row r="395" spans="1:15" ht="12.75" customHeight="1">
      <c r="A395" s="18" t="s">
        <v>278</v>
      </c>
      <c r="B395" s="18"/>
      <c r="C395" s="19"/>
      <c r="D395" s="19"/>
      <c r="F395" s="19"/>
    </row>
    <row r="396" spans="1:15" ht="12.75" customHeight="1">
      <c r="A396" s="18" t="s">
        <v>279</v>
      </c>
      <c r="B396" s="18"/>
      <c r="C396" s="19"/>
      <c r="D396" s="19"/>
      <c r="E396" s="19"/>
      <c r="F396" s="22"/>
    </row>
    <row r="397" spans="1:15" ht="12.75" customHeight="1">
      <c r="A397" s="18" t="s">
        <v>280</v>
      </c>
      <c r="B397" s="18"/>
      <c r="C397" s="19"/>
      <c r="D397" s="19"/>
      <c r="E397" s="19"/>
      <c r="F397" s="22"/>
    </row>
    <row r="398" spans="1:15" ht="12.75" customHeight="1">
      <c r="A398" s="18" t="s">
        <v>281</v>
      </c>
      <c r="B398" s="18"/>
      <c r="C398" s="19"/>
      <c r="D398" s="19"/>
      <c r="E398" s="19"/>
      <c r="F398" s="22"/>
    </row>
    <row r="399" spans="1:15" ht="12.75" customHeight="1">
      <c r="A399" s="18" t="s">
        <v>282</v>
      </c>
      <c r="B399" s="18"/>
      <c r="C399" s="19"/>
      <c r="D399" s="19"/>
      <c r="E399" s="19"/>
      <c r="F399" s="22"/>
    </row>
    <row r="400" spans="1:15" ht="12.75" customHeight="1">
      <c r="A400" s="18" t="s">
        <v>283</v>
      </c>
      <c r="B400" s="18"/>
      <c r="C400" s="19"/>
      <c r="D400" s="19"/>
      <c r="E400" s="19"/>
      <c r="F400" s="22"/>
    </row>
    <row r="401" spans="1:6" ht="12.75" customHeight="1">
      <c r="A401" s="18"/>
      <c r="B401" s="18"/>
      <c r="C401" s="19"/>
      <c r="D401" s="19"/>
      <c r="E401" s="19"/>
      <c r="F401" s="22"/>
    </row>
    <row r="402" spans="1:6" ht="12.75" customHeight="1">
      <c r="A402" s="20" t="s">
        <v>284</v>
      </c>
      <c r="B402" s="20"/>
      <c r="D402" s="19" t="s">
        <v>285</v>
      </c>
      <c r="E402" s="19"/>
    </row>
    <row r="403" spans="1:6" ht="12.75" customHeight="1">
      <c r="A403" s="18" t="s">
        <v>286</v>
      </c>
      <c r="B403" s="18"/>
      <c r="D403" s="19">
        <v>0</v>
      </c>
      <c r="E403" s="19"/>
    </row>
    <row r="404" spans="1:6" ht="12.75" customHeight="1">
      <c r="A404" s="18" t="s">
        <v>287</v>
      </c>
      <c r="B404" s="18"/>
      <c r="D404" s="19"/>
      <c r="E404" s="19"/>
    </row>
    <row r="405" spans="1:6" ht="12.75" customHeight="1">
      <c r="A405" s="21" t="s">
        <v>288</v>
      </c>
      <c r="B405" s="21"/>
      <c r="D405" s="22"/>
      <c r="E405" s="22"/>
    </row>
    <row r="406" spans="1:6" ht="12.75" customHeight="1">
      <c r="A406" s="21" t="s">
        <v>289</v>
      </c>
      <c r="B406" s="21"/>
      <c r="D406" s="22"/>
      <c r="E406" s="22"/>
    </row>
    <row r="407" spans="1:6" ht="12.75" customHeight="1">
      <c r="A407" s="21" t="s">
        <v>290</v>
      </c>
      <c r="B407" s="21"/>
      <c r="D407" s="22"/>
      <c r="E407" s="22"/>
    </row>
    <row r="408" spans="1:6" ht="12.75" customHeight="1">
      <c r="A408" s="21" t="s">
        <v>291</v>
      </c>
      <c r="B408" s="21"/>
      <c r="D408" s="22"/>
      <c r="E408" s="22"/>
    </row>
    <row r="409" spans="1:6" ht="12.75" customHeight="1">
      <c r="A409" s="21" t="s">
        <v>292</v>
      </c>
      <c r="B409" s="21"/>
      <c r="D409" s="22"/>
      <c r="E409" s="22"/>
    </row>
    <row r="410" spans="1:6" ht="12.75" customHeight="1">
      <c r="A410" s="21"/>
      <c r="B410" s="21"/>
      <c r="C410" s="22"/>
      <c r="D410" s="22"/>
      <c r="E410" s="22"/>
    </row>
    <row r="411" spans="1:6" ht="12.75" customHeight="1">
      <c r="A411" s="35"/>
    </row>
    <row r="412" spans="1:6" ht="12.75" customHeight="1">
      <c r="A412" s="35"/>
    </row>
  </sheetData>
  <sortState xmlns:xlrd2="http://schemas.microsoft.com/office/spreadsheetml/2017/richdata2" ref="A6:A11">
    <sortCondition ref="A6:A11"/>
  </sortState>
  <mergeCells count="3">
    <mergeCell ref="I286:J286"/>
    <mergeCell ref="K286:L286"/>
    <mergeCell ref="H319:L319"/>
  </mergeCells>
  <phoneticPr fontId="95" type="noConversion"/>
  <pageMargins left="0.7" right="0.7" top="0.75" bottom="0.75" header="0.3" footer="0.3"/>
  <pageSetup paperSize="9" orientation="portrait" r:id="rId1"/>
  <ignoredErrors>
    <ignoredError sqref="D168 D178 D193 D179:D180 D202:D204 D217 D227 D22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79"/>
  <sheetViews>
    <sheetView topLeftCell="Z148" zoomScale="85" zoomScaleNormal="85" workbookViewId="0">
      <selection activeCell="AF194" sqref="AF194"/>
    </sheetView>
  </sheetViews>
  <sheetFormatPr defaultRowHeight="12.75"/>
  <cols>
    <col min="1" max="1" width="25" customWidth="1"/>
    <col min="2" max="2" width="10.42578125" bestFit="1" customWidth="1"/>
    <col min="3" max="3" width="10.42578125" customWidth="1"/>
    <col min="5" max="5" width="35.42578125" customWidth="1"/>
    <col min="7" max="7" width="9.5703125" customWidth="1"/>
    <col min="8" max="8" width="10.42578125" customWidth="1"/>
    <col min="9" max="9" width="11.5703125" customWidth="1"/>
    <col min="10" max="10" width="35" customWidth="1"/>
    <col min="11" max="11" width="9.42578125" customWidth="1"/>
    <col min="12" max="12" width="4.42578125" customWidth="1"/>
    <col min="15" max="15" width="9.5703125" customWidth="1"/>
    <col min="27" max="27" width="31.5703125" bestFit="1" customWidth="1"/>
    <col min="33" max="33" width="13" customWidth="1"/>
    <col min="34" max="41" width="9.5703125" bestFit="1" customWidth="1"/>
  </cols>
  <sheetData>
    <row r="1" spans="1:41">
      <c r="A1" t="s">
        <v>1108</v>
      </c>
    </row>
    <row r="2" spans="1:41">
      <c r="A2" t="s">
        <v>1109</v>
      </c>
    </row>
    <row r="3" spans="1:41">
      <c r="A3" t="s">
        <v>1110</v>
      </c>
    </row>
    <row r="4" spans="1:41">
      <c r="A4" t="s">
        <v>1111</v>
      </c>
    </row>
    <row r="5" spans="1:41">
      <c r="A5" t="s">
        <v>1112</v>
      </c>
    </row>
    <row r="6" spans="1:41" ht="28.5">
      <c r="A6" t="s">
        <v>1113</v>
      </c>
      <c r="AC6" s="369" t="s">
        <v>1080</v>
      </c>
    </row>
    <row r="7" spans="1:41">
      <c r="A7" t="s">
        <v>1114</v>
      </c>
      <c r="AE7" s="368" t="s">
        <v>1081</v>
      </c>
    </row>
    <row r="8" spans="1:41">
      <c r="A8" t="s">
        <v>1115</v>
      </c>
      <c r="AG8" s="374" t="s">
        <v>1082</v>
      </c>
    </row>
    <row r="9" spans="1:41">
      <c r="A9" s="376" t="s">
        <v>1658</v>
      </c>
      <c r="AE9" s="377"/>
    </row>
    <row r="10" spans="1:41" ht="14.25">
      <c r="AB10" s="378"/>
      <c r="AC10" s="378"/>
      <c r="AD10" s="378"/>
      <c r="AE10" s="379" t="s">
        <v>1083</v>
      </c>
      <c r="AF10" s="378"/>
      <c r="AG10" s="378"/>
      <c r="AH10" s="378"/>
      <c r="AI10" s="378"/>
      <c r="AJ10" s="378"/>
      <c r="AK10" s="378"/>
      <c r="AL10" s="378"/>
      <c r="AM10" s="378"/>
      <c r="AN10" s="378"/>
      <c r="AO10" s="378"/>
    </row>
    <row r="11" spans="1:41" ht="28.5">
      <c r="A11" s="369" t="s">
        <v>1116</v>
      </c>
      <c r="E11" s="369" t="s">
        <v>1117</v>
      </c>
      <c r="N11" s="369" t="s">
        <v>1118</v>
      </c>
      <c r="AB11" s="706">
        <v>26000</v>
      </c>
      <c r="AC11" s="706">
        <v>26000</v>
      </c>
      <c r="AD11" s="706">
        <v>39000</v>
      </c>
      <c r="AE11" s="706">
        <v>52000</v>
      </c>
      <c r="AF11" s="706">
        <v>66000</v>
      </c>
      <c r="AG11" s="706">
        <v>79000</v>
      </c>
      <c r="AH11" s="706">
        <v>105000</v>
      </c>
      <c r="AI11" s="706">
        <v>131000</v>
      </c>
      <c r="AJ11" s="706">
        <v>157000</v>
      </c>
      <c r="AK11" s="706">
        <v>184000</v>
      </c>
      <c r="AL11" s="706">
        <v>210000</v>
      </c>
      <c r="AM11" s="706">
        <v>262000</v>
      </c>
      <c r="AN11" s="706">
        <v>328000</v>
      </c>
      <c r="AO11" s="706">
        <v>394000</v>
      </c>
    </row>
    <row r="12" spans="1:41" ht="14.25">
      <c r="A12" s="427" t="s">
        <v>1659</v>
      </c>
      <c r="E12" s="374" t="s">
        <v>1119</v>
      </c>
      <c r="O12" s="368" t="s">
        <v>1081</v>
      </c>
      <c r="AB12" s="709" t="s">
        <v>1120</v>
      </c>
      <c r="AC12" s="709" t="s">
        <v>1121</v>
      </c>
      <c r="AD12" s="709" t="s">
        <v>1121</v>
      </c>
      <c r="AE12" s="709" t="s">
        <v>1121</v>
      </c>
      <c r="AF12" s="709" t="s">
        <v>1121</v>
      </c>
      <c r="AG12" s="709" t="s">
        <v>1121</v>
      </c>
      <c r="AH12" s="709" t="s">
        <v>1121</v>
      </c>
      <c r="AI12" s="709" t="s">
        <v>1121</v>
      </c>
      <c r="AJ12" s="709" t="s">
        <v>1121</v>
      </c>
      <c r="AK12" s="709" t="s">
        <v>1121</v>
      </c>
      <c r="AL12" s="709" t="s">
        <v>1121</v>
      </c>
      <c r="AM12" s="709" t="s">
        <v>1121</v>
      </c>
      <c r="AN12" s="709" t="s">
        <v>1121</v>
      </c>
      <c r="AO12" s="709" t="s">
        <v>1121</v>
      </c>
    </row>
    <row r="13" spans="1:41" ht="14.25">
      <c r="E13" s="374" t="s">
        <v>1082</v>
      </c>
      <c r="Q13" s="374" t="s">
        <v>1082</v>
      </c>
      <c r="AB13" s="710"/>
      <c r="AC13" s="710">
        <v>39000</v>
      </c>
      <c r="AD13" s="710">
        <v>52000</v>
      </c>
      <c r="AE13" s="710">
        <v>66000</v>
      </c>
      <c r="AF13" s="710">
        <v>79000</v>
      </c>
      <c r="AG13" s="710">
        <v>105000</v>
      </c>
      <c r="AH13" s="710">
        <v>131000</v>
      </c>
      <c r="AI13" s="710">
        <v>157000</v>
      </c>
      <c r="AJ13" s="710">
        <v>184000</v>
      </c>
      <c r="AK13" s="710">
        <v>210000</v>
      </c>
      <c r="AL13" s="710">
        <v>262000</v>
      </c>
      <c r="AM13" s="710">
        <v>328000</v>
      </c>
      <c r="AN13" s="710">
        <v>394000</v>
      </c>
      <c r="AO13" s="710">
        <v>656000</v>
      </c>
    </row>
    <row r="14" spans="1:41" ht="50.25" customHeight="1">
      <c r="A14" s="372" t="s">
        <v>1122</v>
      </c>
      <c r="B14" s="370" t="s">
        <v>1123</v>
      </c>
      <c r="C14" s="375" t="s">
        <v>1124</v>
      </c>
      <c r="D14" s="370"/>
      <c r="E14" s="372" t="s">
        <v>1125</v>
      </c>
      <c r="F14" s="370" t="s">
        <v>1123</v>
      </c>
      <c r="G14" s="371" t="s">
        <v>1126</v>
      </c>
      <c r="H14" s="718" t="s">
        <v>1624</v>
      </c>
      <c r="I14" s="371"/>
      <c r="J14" s="371"/>
      <c r="K14" s="427" t="s">
        <v>243</v>
      </c>
      <c r="L14" s="427"/>
      <c r="M14" s="370" t="s">
        <v>231</v>
      </c>
      <c r="N14" s="370" t="s">
        <v>238</v>
      </c>
      <c r="O14" s="370" t="s">
        <v>232</v>
      </c>
      <c r="P14" s="370" t="s">
        <v>239</v>
      </c>
      <c r="Q14" s="370" t="s">
        <v>230</v>
      </c>
      <c r="R14" s="370" t="s">
        <v>237</v>
      </c>
      <c r="S14" s="370" t="s">
        <v>233</v>
      </c>
      <c r="T14" s="370" t="s">
        <v>240</v>
      </c>
      <c r="U14" s="370" t="s">
        <v>234</v>
      </c>
      <c r="V14" s="370" t="s">
        <v>242</v>
      </c>
      <c r="W14" s="370" t="s">
        <v>235</v>
      </c>
      <c r="X14" s="370" t="s">
        <v>241</v>
      </c>
      <c r="Y14" s="370" t="s">
        <v>1127</v>
      </c>
      <c r="Z14" s="370"/>
      <c r="AA14" s="369" t="s">
        <v>243</v>
      </c>
    </row>
    <row r="15" spans="1:41" ht="14.25">
      <c r="A15" t="s">
        <v>1086</v>
      </c>
      <c r="B15" s="46">
        <v>883.86</v>
      </c>
      <c r="C15" s="46">
        <v>646.45000000000005</v>
      </c>
      <c r="D15" s="373"/>
      <c r="E15" t="s">
        <v>1086</v>
      </c>
      <c r="F15" s="708" t="s">
        <v>1128</v>
      </c>
      <c r="G15" s="716">
        <v>793.02082824707031</v>
      </c>
      <c r="H15" s="716">
        <v>3.3265228271484375</v>
      </c>
      <c r="I15" s="703"/>
      <c r="J15" t="s">
        <v>1086</v>
      </c>
      <c r="K15" s="46">
        <v>808.79771537405315</v>
      </c>
      <c r="M15" s="46">
        <v>793.61898836588773</v>
      </c>
      <c r="N15" s="46">
        <v>821.45999595426065</v>
      </c>
      <c r="O15" s="46">
        <v>810.46879753417818</v>
      </c>
      <c r="P15" s="46">
        <v>844.8859709256584</v>
      </c>
      <c r="Q15" s="46">
        <v>788.29511830584295</v>
      </c>
      <c r="R15" s="46">
        <v>850.85135139184911</v>
      </c>
      <c r="S15" s="46">
        <v>830.18986502495875</v>
      </c>
      <c r="T15" s="46">
        <v>787.69963924440196</v>
      </c>
      <c r="U15" s="46">
        <v>767.90684468934819</v>
      </c>
      <c r="V15" s="46">
        <v>819.9026373954855</v>
      </c>
      <c r="W15" s="46">
        <v>824.10000960230593</v>
      </c>
      <c r="X15" s="46">
        <v>815.77677009115746</v>
      </c>
      <c r="Y15" s="46">
        <v>834.30040127233576</v>
      </c>
      <c r="Z15" s="702"/>
      <c r="AA15" t="s">
        <v>1086</v>
      </c>
      <c r="AB15" s="46"/>
      <c r="AC15" s="46">
        <v>598.59527296115107</v>
      </c>
      <c r="AD15" s="46">
        <v>613.32872098779649</v>
      </c>
      <c r="AE15" s="46">
        <v>638.18431144810233</v>
      </c>
      <c r="AF15" s="46">
        <v>678.87315014878493</v>
      </c>
      <c r="AG15" s="46">
        <v>741.81667604160373</v>
      </c>
      <c r="AH15" s="46">
        <v>829.08944485757706</v>
      </c>
      <c r="AI15" s="46">
        <v>903.07293066606462</v>
      </c>
      <c r="AJ15" s="46">
        <v>985.39916656433468</v>
      </c>
      <c r="AK15" s="46">
        <v>1033.7842059931695</v>
      </c>
      <c r="AL15" s="46">
        <v>1099.8054338458803</v>
      </c>
      <c r="AM15" s="46">
        <v>1216.3258149006804</v>
      </c>
      <c r="AN15" s="46">
        <v>1388.6400400406708</v>
      </c>
      <c r="AO15" s="46">
        <v>1403.4678593893548</v>
      </c>
    </row>
    <row r="16" spans="1:41" ht="14.25">
      <c r="A16" t="s">
        <v>1088</v>
      </c>
      <c r="B16" s="46">
        <v>1062.44</v>
      </c>
      <c r="C16" s="46">
        <v>803.56</v>
      </c>
      <c r="D16" s="373"/>
      <c r="E16" t="s">
        <v>1088</v>
      </c>
      <c r="F16" s="708" t="s">
        <v>1128</v>
      </c>
      <c r="G16" s="716">
        <v>1030.7929382324219</v>
      </c>
      <c r="H16" s="716">
        <v>3.43792724609375</v>
      </c>
      <c r="I16" s="703"/>
      <c r="J16" t="s">
        <v>1088</v>
      </c>
      <c r="K16" s="46">
        <v>1052.1096411226513</v>
      </c>
      <c r="M16" s="46">
        <v>1036.1261838594301</v>
      </c>
      <c r="N16" s="46">
        <v>1064.0861828000645</v>
      </c>
      <c r="O16" s="46">
        <v>1053.0480105356842</v>
      </c>
      <c r="P16" s="46">
        <v>1087.6122768008349</v>
      </c>
      <c r="Q16" s="46">
        <v>1030.779562873206</v>
      </c>
      <c r="R16" s="46">
        <v>1093.6031520329977</v>
      </c>
      <c r="S16" s="46">
        <v>1072.8533629092642</v>
      </c>
      <c r="T16" s="46">
        <v>1030.1815379332279</v>
      </c>
      <c r="U16" s="46">
        <v>1010.3041488200512</v>
      </c>
      <c r="V16" s="46">
        <v>1062.5221669881066</v>
      </c>
      <c r="W16" s="46">
        <v>1066.7374801375547</v>
      </c>
      <c r="X16" s="46">
        <v>1058.3786684039262</v>
      </c>
      <c r="Y16" s="46">
        <v>1076.9814664348271</v>
      </c>
      <c r="Z16" s="702"/>
      <c r="AA16" t="s">
        <v>1088</v>
      </c>
      <c r="AB16" s="46"/>
      <c r="AC16" s="687"/>
      <c r="AD16" s="46">
        <v>703.51899957818148</v>
      </c>
      <c r="AE16" s="46">
        <v>728.48082038791324</v>
      </c>
      <c r="AF16" s="46">
        <v>769.34355930828247</v>
      </c>
      <c r="AG16" s="46">
        <v>832.55609813203796</v>
      </c>
      <c r="AH16" s="46">
        <v>920.20186214651881</v>
      </c>
      <c r="AI16" s="46">
        <v>994.50154633083537</v>
      </c>
      <c r="AJ16" s="46">
        <v>1077.1796333128111</v>
      </c>
      <c r="AK16" s="46">
        <v>1125.7714689930131</v>
      </c>
      <c r="AL16" s="46">
        <v>1192.0748656060207</v>
      </c>
      <c r="AM16" s="46">
        <v>1309.0932390215287</v>
      </c>
      <c r="AN16" s="46">
        <v>1482.1439182614597</v>
      </c>
      <c r="AO16" s="46">
        <v>1497.0351089850494</v>
      </c>
    </row>
    <row r="17" spans="1:41" ht="14.25">
      <c r="A17" t="s">
        <v>1090</v>
      </c>
      <c r="B17" s="46">
        <v>1241.02</v>
      </c>
      <c r="C17" s="46">
        <v>960.67</v>
      </c>
      <c r="D17" s="373"/>
      <c r="E17" t="s">
        <v>1090</v>
      </c>
      <c r="F17" s="708" t="s">
        <v>1128</v>
      </c>
      <c r="G17" s="716">
        <v>1094.6232299804688</v>
      </c>
      <c r="H17" s="716">
        <v>5.363250732421875</v>
      </c>
      <c r="I17" s="703"/>
      <c r="J17" t="s">
        <v>1090</v>
      </c>
      <c r="K17" s="46">
        <v>1127.0166475466697</v>
      </c>
      <c r="M17" s="46">
        <v>1111.5284193190685</v>
      </c>
      <c r="N17" s="46">
        <v>1139.3058843404485</v>
      </c>
      <c r="O17" s="46">
        <v>1128.3397714613313</v>
      </c>
      <c r="P17" s="46">
        <v>1162.6783885616396</v>
      </c>
      <c r="Q17" s="46">
        <v>1106.2167017030779</v>
      </c>
      <c r="R17" s="46">
        <v>1168.6301528594922</v>
      </c>
      <c r="S17" s="46">
        <v>1148.0158277533174</v>
      </c>
      <c r="T17" s="46">
        <v>1105.6225829590619</v>
      </c>
      <c r="U17" s="46">
        <v>1085.8749615536706</v>
      </c>
      <c r="V17" s="46">
        <v>1137.7520778291916</v>
      </c>
      <c r="W17" s="46">
        <v>1141.9398711088372</v>
      </c>
      <c r="X17" s="46">
        <v>1133.6356288718518</v>
      </c>
      <c r="Y17" s="46">
        <v>1152.1169819696875</v>
      </c>
      <c r="Z17" s="702"/>
      <c r="AA17" t="s">
        <v>1090</v>
      </c>
      <c r="AB17" s="46"/>
      <c r="AC17" s="687"/>
      <c r="AD17" s="46">
        <v>769.22357063259119</v>
      </c>
      <c r="AE17" s="46">
        <v>794.02242935592733</v>
      </c>
      <c r="AF17" s="46">
        <v>834.61839960118948</v>
      </c>
      <c r="AG17" s="46">
        <v>897.41826001395214</v>
      </c>
      <c r="AH17" s="46">
        <v>984.49183384659568</v>
      </c>
      <c r="AI17" s="46">
        <v>1058.3064576088584</v>
      </c>
      <c r="AJ17" s="46">
        <v>1140.4447887788799</v>
      </c>
      <c r="AK17" s="46">
        <v>1188.719394081538</v>
      </c>
      <c r="AL17" s="46">
        <v>1254.5899333652314</v>
      </c>
      <c r="AM17" s="46">
        <v>1370.8443620638839</v>
      </c>
      <c r="AN17" s="46">
        <v>1542.765293290659</v>
      </c>
      <c r="AO17" s="46">
        <v>1557.5592675228254</v>
      </c>
    </row>
    <row r="18" spans="1:41" ht="14.25">
      <c r="A18" t="s">
        <v>1129</v>
      </c>
      <c r="B18" s="46">
        <v>1419.6</v>
      </c>
      <c r="C18" s="46">
        <v>1117.79</v>
      </c>
      <c r="D18" s="373"/>
      <c r="E18" t="s">
        <v>1129</v>
      </c>
      <c r="F18" s="708" t="s">
        <v>1128</v>
      </c>
      <c r="G18" s="716">
        <v>1187.67529296875</v>
      </c>
      <c r="H18" s="716">
        <v>3.07855224609375</v>
      </c>
      <c r="I18" s="703"/>
      <c r="J18" t="s">
        <v>1129</v>
      </c>
      <c r="K18" s="46">
        <v>1187.1424074349461</v>
      </c>
      <c r="M18" s="46">
        <v>1174.0175162595287</v>
      </c>
      <c r="N18" s="46">
        <v>1201.7848902430428</v>
      </c>
      <c r="O18" s="46">
        <v>1190.8227603833668</v>
      </c>
      <c r="P18" s="46">
        <v>1225.1489071685999</v>
      </c>
      <c r="Q18" s="46">
        <v>1168.707729390846</v>
      </c>
      <c r="R18" s="46">
        <v>1231.0985093913214</v>
      </c>
      <c r="S18" s="46">
        <v>1210.4916704125253</v>
      </c>
      <c r="T18" s="46">
        <v>1168.1138249490709</v>
      </c>
      <c r="U18" s="46">
        <v>1148.3733770296674</v>
      </c>
      <c r="V18" s="46">
        <v>1200.2316508502511</v>
      </c>
      <c r="W18" s="46">
        <v>1204.4179225158646</v>
      </c>
      <c r="X18" s="46">
        <v>1196.1166946305175</v>
      </c>
      <c r="Y18" s="46">
        <v>1214.5913345446641</v>
      </c>
      <c r="Z18" s="702"/>
      <c r="AA18" t="s">
        <v>1129</v>
      </c>
      <c r="AB18" s="46"/>
      <c r="AC18" s="687"/>
      <c r="AD18" s="687"/>
      <c r="AE18" s="46">
        <v>858.95471961975863</v>
      </c>
      <c r="AF18" s="46">
        <v>899.53594275422711</v>
      </c>
      <c r="AG18" s="46">
        <v>962.31299555738872</v>
      </c>
      <c r="AH18" s="46">
        <v>1049.3549410704306</v>
      </c>
      <c r="AI18" s="46">
        <v>1123.1427536744909</v>
      </c>
      <c r="AJ18" s="46">
        <v>1205.2512476862421</v>
      </c>
      <c r="AK18" s="46">
        <v>1253.5083181368573</v>
      </c>
      <c r="AL18" s="46">
        <v>1319.3549311319284</v>
      </c>
      <c r="AM18" s="46">
        <v>1435.5671329422671</v>
      </c>
      <c r="AN18" s="46">
        <v>1607.4256140729617</v>
      </c>
      <c r="AO18" s="46">
        <v>1622.2142183478081</v>
      </c>
    </row>
    <row r="19" spans="1:41">
      <c r="A19" t="s">
        <v>1130</v>
      </c>
      <c r="B19" s="46">
        <v>1598.19</v>
      </c>
      <c r="C19" s="46">
        <v>1273.1600000000001</v>
      </c>
      <c r="D19" s="373"/>
      <c r="F19" s="751"/>
      <c r="G19" s="717"/>
      <c r="H19" s="717"/>
      <c r="I19" s="705"/>
      <c r="M19" s="46"/>
      <c r="N19" s="46"/>
      <c r="O19" s="46"/>
      <c r="P19" s="46"/>
      <c r="Q19" s="46"/>
      <c r="R19" s="46"/>
      <c r="S19" s="46"/>
      <c r="T19" s="46"/>
      <c r="U19" s="46"/>
      <c r="V19" s="46"/>
      <c r="W19" s="46"/>
      <c r="X19" s="46"/>
      <c r="Y19" s="46"/>
      <c r="Z19" s="702"/>
      <c r="AB19" s="46"/>
      <c r="AC19" s="46"/>
      <c r="AD19" s="46"/>
      <c r="AE19" s="46"/>
      <c r="AF19" s="46"/>
      <c r="AG19" s="46"/>
      <c r="AH19" s="46"/>
      <c r="AI19" s="46"/>
      <c r="AJ19" s="46"/>
      <c r="AK19" s="46"/>
      <c r="AL19" s="46"/>
      <c r="AM19" s="46"/>
      <c r="AN19" s="46"/>
      <c r="AO19" s="46"/>
    </row>
    <row r="20" spans="1:41" ht="14.25">
      <c r="A20" t="s">
        <v>1097</v>
      </c>
      <c r="B20" s="46">
        <v>660.72</v>
      </c>
      <c r="C20" s="46">
        <v>444.66</v>
      </c>
      <c r="D20" s="373"/>
      <c r="E20" t="s">
        <v>1097</v>
      </c>
      <c r="F20" s="708" t="s">
        <v>1128</v>
      </c>
      <c r="G20" s="716">
        <v>370.65827178955078</v>
      </c>
      <c r="H20" s="716">
        <v>0.87976837158203125</v>
      </c>
      <c r="I20" s="703"/>
      <c r="J20" t="s">
        <v>1097</v>
      </c>
      <c r="K20" s="46">
        <v>395.40589679473902</v>
      </c>
      <c r="M20" s="46">
        <v>380.30190860223394</v>
      </c>
      <c r="N20" s="46">
        <v>408.19094029136272</v>
      </c>
      <c r="O20" s="46">
        <v>397.18078318468986</v>
      </c>
      <c r="P20" s="46">
        <v>431.65732268411188</v>
      </c>
      <c r="Q20" s="46">
        <v>374.96885613340498</v>
      </c>
      <c r="R20" s="46">
        <v>437.63299350406453</v>
      </c>
      <c r="S20" s="46">
        <v>416.93586788378911</v>
      </c>
      <c r="T20" s="46">
        <v>374.37234953525171</v>
      </c>
      <c r="U20" s="46">
        <v>354.54541400815913</v>
      </c>
      <c r="V20" s="46">
        <v>406.63089508202023</v>
      </c>
      <c r="W20" s="46">
        <v>410.83550776488875</v>
      </c>
      <c r="X20" s="46">
        <v>402.4979114944968</v>
      </c>
      <c r="Y20" s="46">
        <v>421.05349448487482</v>
      </c>
      <c r="Z20" s="702"/>
      <c r="AA20" t="s">
        <v>1097</v>
      </c>
      <c r="AB20" s="46">
        <v>310.89483099867698</v>
      </c>
      <c r="AC20" s="46">
        <v>326.29851272032681</v>
      </c>
      <c r="AD20" s="46">
        <v>341.05737465753998</v>
      </c>
      <c r="AE20" s="46">
        <v>365.95583930203804</v>
      </c>
      <c r="AF20" s="46">
        <v>406.71486302587834</v>
      </c>
      <c r="AG20" s="46">
        <v>469.76696118332421</v>
      </c>
      <c r="AH20" s="46">
        <v>557.1902680951348</v>
      </c>
      <c r="AI20" s="46">
        <v>631.30136956647016</v>
      </c>
      <c r="AJ20" s="46">
        <v>713.76961082432354</v>
      </c>
      <c r="AK20" s="46">
        <v>762.2381119113943</v>
      </c>
      <c r="AL20" s="46">
        <v>828.37322039507455</v>
      </c>
      <c r="AM20" s="46">
        <v>945.09458852157081</v>
      </c>
      <c r="AN20" s="46">
        <v>1117.706042671394</v>
      </c>
      <c r="AO20" s="46">
        <v>1132.5594370594013</v>
      </c>
    </row>
    <row r="21" spans="1:41" ht="14.25">
      <c r="A21" t="s">
        <v>1099</v>
      </c>
      <c r="B21" s="46">
        <v>848.24</v>
      </c>
      <c r="C21" s="46">
        <v>610.71</v>
      </c>
      <c r="D21" s="373"/>
      <c r="E21" t="s">
        <v>1099</v>
      </c>
      <c r="F21" s="708" t="s">
        <v>1128</v>
      </c>
      <c r="G21" s="716">
        <v>500.08322906494141</v>
      </c>
      <c r="H21" s="716">
        <v>0.33526611328125</v>
      </c>
      <c r="I21" s="703"/>
      <c r="J21" t="s">
        <v>1099</v>
      </c>
      <c r="K21" s="46">
        <v>533.46267346529714</v>
      </c>
      <c r="M21" s="46">
        <v>517.07874265590317</v>
      </c>
      <c r="N21" s="46">
        <v>544.7825655471587</v>
      </c>
      <c r="O21" s="46">
        <v>533.84552636020987</v>
      </c>
      <c r="P21" s="46">
        <v>568.093110300587</v>
      </c>
      <c r="Q21" s="46">
        <v>511.78110766532598</v>
      </c>
      <c r="R21" s="46">
        <v>574.02909685797567</v>
      </c>
      <c r="S21" s="46">
        <v>553.46942037678969</v>
      </c>
      <c r="T21" s="46">
        <v>511.18856136600522</v>
      </c>
      <c r="U21" s="46">
        <v>491.4932951363927</v>
      </c>
      <c r="V21" s="46">
        <v>543.23288139247757</v>
      </c>
      <c r="W21" s="46">
        <v>547.40957056827551</v>
      </c>
      <c r="X21" s="46">
        <v>539.12734496122528</v>
      </c>
      <c r="Y21" s="46">
        <v>557.55970214554634</v>
      </c>
      <c r="Z21" s="702"/>
      <c r="AA21" t="s">
        <v>1099</v>
      </c>
      <c r="AB21" s="46">
        <v>0</v>
      </c>
      <c r="AC21" s="46">
        <v>424.90904387545123</v>
      </c>
      <c r="AD21" s="46">
        <v>439.56989377806684</v>
      </c>
      <c r="AE21" s="46">
        <v>464.30300995471811</v>
      </c>
      <c r="AF21" s="46">
        <v>504.79135502157334</v>
      </c>
      <c r="AG21" s="46">
        <v>567.4247310593064</v>
      </c>
      <c r="AH21" s="46">
        <v>654.26746821800543</v>
      </c>
      <c r="AI21" s="46">
        <v>727.88640364020387</v>
      </c>
      <c r="AJ21" s="46">
        <v>809.80697805257125</v>
      </c>
      <c r="AK21" s="46">
        <v>857.95360496121623</v>
      </c>
      <c r="AL21" s="46">
        <v>923.6495168639625</v>
      </c>
      <c r="AM21" s="46">
        <v>1039.5957500898364</v>
      </c>
      <c r="AN21" s="46">
        <v>1211.0609045023018</v>
      </c>
      <c r="AO21" s="46">
        <v>1225.815660316078</v>
      </c>
    </row>
    <row r="22" spans="1:41" ht="14.25">
      <c r="A22" t="s">
        <v>1101</v>
      </c>
      <c r="B22" s="46">
        <v>1026.7</v>
      </c>
      <c r="C22" s="46">
        <v>767.82</v>
      </c>
      <c r="D22" s="373"/>
      <c r="E22" t="s">
        <v>1101</v>
      </c>
      <c r="F22" s="708" t="s">
        <v>1128</v>
      </c>
      <c r="G22" s="716">
        <v>589.45759582519531</v>
      </c>
      <c r="H22" s="716">
        <v>1.2537994384765625</v>
      </c>
      <c r="I22" s="703"/>
      <c r="J22" t="s">
        <v>1101</v>
      </c>
      <c r="K22" s="46">
        <v>640.58313328031272</v>
      </c>
      <c r="M22" s="46">
        <v>623.26124160419261</v>
      </c>
      <c r="N22" s="46">
        <v>650.92543149374842</v>
      </c>
      <c r="O22" s="46">
        <v>640.0040389868733</v>
      </c>
      <c r="P22" s="46">
        <v>674.20262608923122</v>
      </c>
      <c r="Q22" s="46">
        <v>617.97118537072186</v>
      </c>
      <c r="R22" s="46">
        <v>680.13012285678133</v>
      </c>
      <c r="S22" s="46">
        <v>659.59985684431297</v>
      </c>
      <c r="T22" s="46">
        <v>617.3794874344751</v>
      </c>
      <c r="U22" s="46">
        <v>597.71239600287879</v>
      </c>
      <c r="V22" s="46">
        <v>649.37796113388492</v>
      </c>
      <c r="W22" s="46">
        <v>653.5486776562409</v>
      </c>
      <c r="X22" s="46">
        <v>645.27829973480198</v>
      </c>
      <c r="Y22" s="46">
        <v>663.68428712598086</v>
      </c>
      <c r="Z22" s="702"/>
      <c r="AA22" t="s">
        <v>1101</v>
      </c>
      <c r="AB22" s="46">
        <v>0</v>
      </c>
      <c r="AC22" s="46">
        <v>536.09536044700667</v>
      </c>
      <c r="AD22" s="46">
        <v>550.7352363766571</v>
      </c>
      <c r="AE22" s="46">
        <v>575.43296870270058</v>
      </c>
      <c r="AF22" s="46">
        <v>615.86339003494106</v>
      </c>
      <c r="AG22" s="46">
        <v>678.40716288689691</v>
      </c>
      <c r="AH22" s="46">
        <v>765.12565953203921</v>
      </c>
      <c r="AI22" s="46">
        <v>838.63927423550297</v>
      </c>
      <c r="AJ22" s="46">
        <v>920.44265485312951</v>
      </c>
      <c r="AK22" s="46">
        <v>968.52039854140628</v>
      </c>
      <c r="AL22" s="46">
        <v>1034.1223256102569</v>
      </c>
      <c r="AM22" s="46">
        <v>1149.9026862788635</v>
      </c>
      <c r="AN22" s="46">
        <v>1321.1225368023856</v>
      </c>
      <c r="AO22" s="46">
        <v>1335.8561845832317</v>
      </c>
    </row>
    <row r="23" spans="1:41" ht="14.25">
      <c r="A23" t="s">
        <v>1131</v>
      </c>
      <c r="B23" s="46">
        <v>1205.28</v>
      </c>
      <c r="C23" s="46">
        <v>924.93</v>
      </c>
      <c r="D23" s="373"/>
      <c r="E23" t="s">
        <v>1131</v>
      </c>
      <c r="F23" s="708" t="s">
        <v>1128</v>
      </c>
      <c r="G23" s="716">
        <v>678.83198547363281</v>
      </c>
      <c r="H23" s="716">
        <v>2.1723175048828125</v>
      </c>
      <c r="I23" s="703"/>
      <c r="J23" t="s">
        <v>1131</v>
      </c>
      <c r="K23" s="113">
        <v>747.7035930953283</v>
      </c>
      <c r="M23" s="46">
        <v>729.44374055248204</v>
      </c>
      <c r="N23" s="46">
        <v>757.06829744033814</v>
      </c>
      <c r="O23" s="46">
        <v>746.16255161353672</v>
      </c>
      <c r="P23" s="46">
        <v>780.31214187787543</v>
      </c>
      <c r="Q23" s="46">
        <v>724.16126307611773</v>
      </c>
      <c r="R23" s="46">
        <v>786.23114885558698</v>
      </c>
      <c r="S23" s="46">
        <v>765.73029331183625</v>
      </c>
      <c r="T23" s="46">
        <v>723.57041350294503</v>
      </c>
      <c r="U23" s="46">
        <v>703.93149686936488</v>
      </c>
      <c r="V23" s="46">
        <v>755.52304087529228</v>
      </c>
      <c r="W23" s="46">
        <v>759.68778474420628</v>
      </c>
      <c r="X23" s="46">
        <v>751.42925450837868</v>
      </c>
      <c r="Y23" s="46">
        <v>769.80887210641538</v>
      </c>
      <c r="Z23" s="702"/>
      <c r="AA23" t="s">
        <v>1131</v>
      </c>
      <c r="AB23" s="46">
        <v>0</v>
      </c>
      <c r="AC23" s="46">
        <v>0</v>
      </c>
      <c r="AD23" s="46">
        <v>661.9005789752473</v>
      </c>
      <c r="AE23" s="46">
        <v>686.56292745068299</v>
      </c>
      <c r="AF23" s="46">
        <v>726.93542504830884</v>
      </c>
      <c r="AG23" s="46">
        <v>789.38959471448743</v>
      </c>
      <c r="AH23" s="46">
        <v>875.98385084607298</v>
      </c>
      <c r="AI23" s="46">
        <v>949.39214483080207</v>
      </c>
      <c r="AJ23" s="46">
        <v>1031.0783316536877</v>
      </c>
      <c r="AK23" s="46">
        <v>1079.0871921215962</v>
      </c>
      <c r="AL23" s="46">
        <v>1144.5951343565512</v>
      </c>
      <c r="AM23" s="46">
        <v>1260.2096224678905</v>
      </c>
      <c r="AN23" s="46">
        <v>1431.1841691024695</v>
      </c>
      <c r="AO23" s="46">
        <v>1445.8967088503853</v>
      </c>
    </row>
    <row r="24" spans="1:41">
      <c r="A24" t="s">
        <v>1132</v>
      </c>
      <c r="B24" s="46">
        <v>1383.86</v>
      </c>
      <c r="C24" s="46">
        <v>1082.05</v>
      </c>
      <c r="D24" s="373"/>
    </row>
    <row r="25" spans="1:41">
      <c r="B25" s="46"/>
      <c r="C25" s="46"/>
      <c r="D25" s="373"/>
    </row>
    <row r="26" spans="1:41" ht="28.5">
      <c r="A26" s="372" t="s">
        <v>1133</v>
      </c>
      <c r="B26" s="46"/>
      <c r="C26" s="46"/>
      <c r="H26" s="370"/>
      <c r="J26" s="372" t="s">
        <v>1134</v>
      </c>
      <c r="AA26" s="369" t="s">
        <v>231</v>
      </c>
    </row>
    <row r="27" spans="1:41" ht="14.25">
      <c r="A27" t="s">
        <v>1086</v>
      </c>
      <c r="B27" s="46">
        <v>758.88</v>
      </c>
      <c r="C27" s="46">
        <v>521.35</v>
      </c>
      <c r="G27" s="708"/>
      <c r="H27" s="703"/>
      <c r="I27" s="703"/>
      <c r="AA27" t="s">
        <v>1086</v>
      </c>
      <c r="AB27" s="46">
        <v>0</v>
      </c>
      <c r="AC27" s="46">
        <v>583.41654601340917</v>
      </c>
      <c r="AD27" s="46">
        <v>598.1499940811118</v>
      </c>
      <c r="AE27" s="46">
        <v>623.00558465606775</v>
      </c>
      <c r="AF27" s="46">
        <v>663.6944231305489</v>
      </c>
      <c r="AG27" s="46">
        <v>726.63794938900844</v>
      </c>
      <c r="AH27" s="46">
        <v>813.91071830723752</v>
      </c>
      <c r="AI27" s="46">
        <v>887.89420303739394</v>
      </c>
      <c r="AJ27" s="46">
        <v>970.22043922073999</v>
      </c>
      <c r="AK27" s="46">
        <v>1018.6054793746596</v>
      </c>
      <c r="AL27" s="46">
        <v>1084.626707809917</v>
      </c>
      <c r="AM27" s="46">
        <v>1201.1470871294714</v>
      </c>
      <c r="AN27" s="46">
        <v>1373.4613126351028</v>
      </c>
      <c r="AO27" s="46">
        <v>1388.2891323804145</v>
      </c>
    </row>
    <row r="28" spans="1:41" ht="14.25">
      <c r="A28" t="s">
        <v>1088</v>
      </c>
      <c r="B28" s="46">
        <v>937.47</v>
      </c>
      <c r="C28" s="46">
        <v>678.59</v>
      </c>
      <c r="G28" s="708"/>
      <c r="H28" s="703"/>
      <c r="I28" s="703"/>
      <c r="J28" t="s">
        <v>1086</v>
      </c>
      <c r="K28">
        <v>2986</v>
      </c>
      <c r="O28" s="380"/>
      <c r="AA28" t="s">
        <v>1088</v>
      </c>
      <c r="AB28" s="46">
        <v>0</v>
      </c>
      <c r="AC28" s="46">
        <v>0</v>
      </c>
      <c r="AD28" s="46">
        <v>687.5355437491138</v>
      </c>
      <c r="AE28" s="46">
        <v>712.4973649920795</v>
      </c>
      <c r="AF28" s="46">
        <v>753.36010326259793</v>
      </c>
      <c r="AG28" s="46">
        <v>816.57264323666413</v>
      </c>
      <c r="AH28" s="46">
        <v>904.21840711669313</v>
      </c>
      <c r="AI28" s="46">
        <v>978.51808929917013</v>
      </c>
      <c r="AJ28" s="46">
        <v>1061.1961796275045</v>
      </c>
      <c r="AK28" s="46">
        <v>1109.7880127680594</v>
      </c>
      <c r="AL28" s="46">
        <v>1176.0914070804449</v>
      </c>
      <c r="AM28" s="46">
        <v>1293.1097830057226</v>
      </c>
      <c r="AN28" s="46">
        <v>1466.1604630822433</v>
      </c>
      <c r="AO28" s="46">
        <v>1481.051653805833</v>
      </c>
    </row>
    <row r="29" spans="1:41" ht="14.25">
      <c r="A29" t="s">
        <v>1090</v>
      </c>
      <c r="B29" s="46">
        <v>1116.05</v>
      </c>
      <c r="C29" s="46">
        <v>835.7</v>
      </c>
      <c r="G29" s="708"/>
      <c r="H29" s="703"/>
      <c r="I29" s="703"/>
      <c r="J29" t="s">
        <v>1088</v>
      </c>
      <c r="K29" s="380">
        <v>622</v>
      </c>
      <c r="P29" s="380"/>
      <c r="AA29" t="s">
        <v>1090</v>
      </c>
      <c r="AB29" s="46">
        <v>0</v>
      </c>
      <c r="AC29" s="46">
        <v>0</v>
      </c>
      <c r="AD29" s="46">
        <v>753.73534303978727</v>
      </c>
      <c r="AE29" s="46">
        <v>778.53420194603086</v>
      </c>
      <c r="AF29" s="46">
        <v>819.1301701954477</v>
      </c>
      <c r="AG29" s="46">
        <v>881.93003161958211</v>
      </c>
      <c r="AH29" s="46">
        <v>969.00360493578057</v>
      </c>
      <c r="AI29" s="46">
        <v>1042.8182290961363</v>
      </c>
      <c r="AJ29" s="46">
        <v>1124.9565605458988</v>
      </c>
      <c r="AK29" s="46">
        <v>1173.2311655042602</v>
      </c>
      <c r="AL29" s="46">
        <v>1239.1017034322851</v>
      </c>
      <c r="AM29" s="46">
        <v>1355.3561338954585</v>
      </c>
      <c r="AN29" s="46">
        <v>1527.2770637450465</v>
      </c>
      <c r="AO29" s="46">
        <v>1542.0710404303277</v>
      </c>
    </row>
    <row r="30" spans="1:41" ht="14.25">
      <c r="A30" t="s">
        <v>1129</v>
      </c>
      <c r="B30" s="46">
        <v>1294.6300000000001</v>
      </c>
      <c r="C30" s="46">
        <v>992.82</v>
      </c>
      <c r="G30" s="708"/>
      <c r="H30" s="703"/>
      <c r="I30" s="703"/>
      <c r="J30" t="s">
        <v>1090</v>
      </c>
      <c r="K30" s="380">
        <v>858</v>
      </c>
      <c r="AA30" t="s">
        <v>1129</v>
      </c>
      <c r="AB30" s="46">
        <v>0</v>
      </c>
      <c r="AC30" s="46">
        <v>0</v>
      </c>
      <c r="AD30" s="46">
        <v>0</v>
      </c>
      <c r="AE30" s="46">
        <v>845.82983085422825</v>
      </c>
      <c r="AF30" s="46">
        <v>886.41105298947525</v>
      </c>
      <c r="AG30" s="46">
        <v>949.18810605713679</v>
      </c>
      <c r="AH30" s="46">
        <v>1036.2300511587346</v>
      </c>
      <c r="AI30" s="46">
        <v>1110.0178653204048</v>
      </c>
      <c r="AJ30" s="46">
        <v>1192.1263595084893</v>
      </c>
      <c r="AK30" s="46">
        <v>1240.3834294301048</v>
      </c>
      <c r="AL30" s="46">
        <v>1306.2300413671767</v>
      </c>
      <c r="AM30" s="46">
        <v>1422.4422459400691</v>
      </c>
      <c r="AN30" s="46">
        <v>1594.3007264829866</v>
      </c>
      <c r="AO30" s="46">
        <v>1609.0893300525001</v>
      </c>
    </row>
    <row r="31" spans="1:41" ht="15">
      <c r="A31" t="s">
        <v>1130</v>
      </c>
      <c r="B31" s="46">
        <v>1473.22</v>
      </c>
      <c r="C31" s="46">
        <v>1148.19</v>
      </c>
      <c r="H31" s="49"/>
      <c r="I31" s="704"/>
      <c r="J31" t="s">
        <v>1092</v>
      </c>
      <c r="K31" s="380">
        <v>409</v>
      </c>
    </row>
    <row r="32" spans="1:41" ht="14.25">
      <c r="A32" t="s">
        <v>1097</v>
      </c>
      <c r="B32" s="46">
        <v>535.75</v>
      </c>
      <c r="C32" s="46">
        <v>319.69</v>
      </c>
      <c r="G32" s="708"/>
      <c r="H32" s="703"/>
      <c r="I32" s="703"/>
      <c r="K32" s="380">
        <v>2705</v>
      </c>
      <c r="AA32" t="s">
        <v>1097</v>
      </c>
      <c r="AB32" s="46">
        <v>295.79084299272802</v>
      </c>
      <c r="AC32" s="46">
        <v>311.19452439164729</v>
      </c>
      <c r="AD32" s="46">
        <v>325.95338638756522</v>
      </c>
      <c r="AE32" s="46">
        <v>350.85185092680712</v>
      </c>
      <c r="AF32" s="46">
        <v>391.6108747763551</v>
      </c>
      <c r="AG32" s="46">
        <v>454.6629723770036</v>
      </c>
      <c r="AH32" s="46">
        <v>542.08627972911233</v>
      </c>
      <c r="AI32" s="46">
        <v>616.1973812706899</v>
      </c>
      <c r="AJ32" s="46">
        <v>698.6656221413549</v>
      </c>
      <c r="AK32" s="46">
        <v>747.13412341345384</v>
      </c>
      <c r="AL32" s="46">
        <v>813.26923280856863</v>
      </c>
      <c r="AM32" s="46">
        <v>929.99059998251278</v>
      </c>
      <c r="AN32" s="46">
        <v>1102.602054200865</v>
      </c>
      <c r="AO32" s="46">
        <v>1117.4554474307333</v>
      </c>
    </row>
    <row r="33" spans="1:42" ht="14.25">
      <c r="A33" t="s">
        <v>1099</v>
      </c>
      <c r="B33" s="46">
        <v>723.14</v>
      </c>
      <c r="C33" s="46">
        <v>485.74</v>
      </c>
      <c r="G33" s="708"/>
      <c r="H33" s="703"/>
      <c r="I33" s="703"/>
      <c r="J33" t="s">
        <v>1097</v>
      </c>
      <c r="K33" s="380">
        <v>228</v>
      </c>
      <c r="AA33" t="s">
        <v>1099</v>
      </c>
      <c r="AB33" s="46">
        <v>0</v>
      </c>
      <c r="AC33" s="46">
        <v>408.52511447941032</v>
      </c>
      <c r="AD33" s="46">
        <v>423.1859637359218</v>
      </c>
      <c r="AE33" s="46">
        <v>447.9190803062927</v>
      </c>
      <c r="AF33" s="46">
        <v>488.40742438380079</v>
      </c>
      <c r="AG33" s="46">
        <v>551.04080003790955</v>
      </c>
      <c r="AH33" s="46">
        <v>637.88353523810497</v>
      </c>
      <c r="AI33" s="46">
        <v>711.50247122564463</v>
      </c>
      <c r="AJ33" s="46">
        <v>793.42304915120394</v>
      </c>
      <c r="AK33" s="46">
        <v>841.56967428306223</v>
      </c>
      <c r="AL33" s="46">
        <v>907.26558586275632</v>
      </c>
      <c r="AM33" s="46">
        <v>1023.2118180387109</v>
      </c>
      <c r="AN33" s="46">
        <v>1194.6769734203326</v>
      </c>
      <c r="AO33" s="46">
        <v>1209.4317292341088</v>
      </c>
    </row>
    <row r="34" spans="1:42" ht="14.25">
      <c r="A34" t="s">
        <v>1101</v>
      </c>
      <c r="B34" s="46">
        <v>901.73</v>
      </c>
      <c r="C34" s="46">
        <v>642.85</v>
      </c>
      <c r="G34" s="708"/>
      <c r="H34" s="703"/>
      <c r="I34" s="703"/>
      <c r="J34" t="s">
        <v>1099</v>
      </c>
      <c r="K34" s="380">
        <v>188</v>
      </c>
      <c r="AA34" t="s">
        <v>1101</v>
      </c>
      <c r="AB34" s="46">
        <v>0</v>
      </c>
      <c r="AC34" s="46">
        <v>518.77346668027201</v>
      </c>
      <c r="AD34" s="46">
        <v>533.41334210866398</v>
      </c>
      <c r="AE34" s="46">
        <v>558.11107519270797</v>
      </c>
      <c r="AF34" s="46">
        <v>598.54150019269332</v>
      </c>
      <c r="AG34" s="46">
        <v>661.08526913238802</v>
      </c>
      <c r="AH34" s="46">
        <v>747.80376543520754</v>
      </c>
      <c r="AI34" s="46">
        <v>821.31738116563974</v>
      </c>
      <c r="AJ34" s="46">
        <v>903.12076197887961</v>
      </c>
      <c r="AK34" s="46">
        <v>951.19850635180205</v>
      </c>
      <c r="AL34" s="46">
        <v>1016.8004350833635</v>
      </c>
      <c r="AM34" s="46">
        <v>1132.5807921331286</v>
      </c>
      <c r="AN34" s="46">
        <v>1303.80064324349</v>
      </c>
      <c r="AO34" s="46">
        <v>1318.5342910243357</v>
      </c>
    </row>
    <row r="35" spans="1:42" ht="14.25">
      <c r="A35" t="s">
        <v>1131</v>
      </c>
      <c r="B35" s="46">
        <v>1080.31</v>
      </c>
      <c r="C35" s="46">
        <v>799.96</v>
      </c>
      <c r="G35" s="708"/>
      <c r="H35" s="703"/>
      <c r="I35" s="703"/>
      <c r="J35" t="s">
        <v>1101</v>
      </c>
      <c r="K35" s="380">
        <v>112</v>
      </c>
      <c r="AA35" t="s">
        <v>1131</v>
      </c>
      <c r="AB35" s="46">
        <v>0</v>
      </c>
      <c r="AC35" s="46">
        <v>0</v>
      </c>
      <c r="AD35" s="46">
        <v>643.64072048140611</v>
      </c>
      <c r="AE35" s="46">
        <v>668.30307007912324</v>
      </c>
      <c r="AF35" s="46">
        <v>708.6755760015858</v>
      </c>
      <c r="AG35" s="46">
        <v>771.12973822686649</v>
      </c>
      <c r="AH35" s="46">
        <v>857.72399563231011</v>
      </c>
      <c r="AI35" s="46">
        <v>931.13229110563486</v>
      </c>
      <c r="AJ35" s="46">
        <v>1012.8184748065553</v>
      </c>
      <c r="AK35" s="46">
        <v>1060.8273384205418</v>
      </c>
      <c r="AL35" s="46">
        <v>1126.3352843039706</v>
      </c>
      <c r="AM35" s="46">
        <v>1241.9497662275462</v>
      </c>
      <c r="AN35" s="46">
        <v>1412.9243130666473</v>
      </c>
      <c r="AO35" s="46">
        <v>1427.6368528145626</v>
      </c>
    </row>
    <row r="36" spans="1:42" ht="15">
      <c r="A36" t="s">
        <v>1132</v>
      </c>
      <c r="B36" s="46">
        <v>1258.8900000000001</v>
      </c>
      <c r="C36" s="46">
        <v>957.08</v>
      </c>
      <c r="H36" s="51"/>
      <c r="I36" s="51"/>
      <c r="J36" t="s">
        <v>1103</v>
      </c>
      <c r="K36" s="707">
        <v>8108</v>
      </c>
    </row>
    <row r="37" spans="1:42" ht="15">
      <c r="F37" s="52"/>
      <c r="G37" s="51"/>
      <c r="H37" s="51"/>
      <c r="I37" s="51"/>
      <c r="J37" s="370"/>
    </row>
    <row r="38" spans="1:42" ht="28.5">
      <c r="J38" s="372" t="s">
        <v>18</v>
      </c>
      <c r="K38" s="707">
        <v>8108</v>
      </c>
      <c r="AA38" s="369" t="s">
        <v>238</v>
      </c>
    </row>
    <row r="39" spans="1:42">
      <c r="J39" s="370"/>
      <c r="AA39" t="s">
        <v>1086</v>
      </c>
      <c r="AB39" s="46">
        <v>0</v>
      </c>
      <c r="AC39" s="46">
        <v>611.25755423313285</v>
      </c>
      <c r="AD39" s="46">
        <v>625.99100224273559</v>
      </c>
      <c r="AE39" s="46">
        <v>650.84659305009052</v>
      </c>
      <c r="AF39" s="46">
        <v>691.53543158344598</v>
      </c>
      <c r="AG39" s="46">
        <v>754.47895799373975</v>
      </c>
      <c r="AH39" s="46">
        <v>841.75172709788785</v>
      </c>
      <c r="AI39" s="46">
        <v>915.73521237650561</v>
      </c>
      <c r="AJ39" s="46">
        <v>998.06144750630995</v>
      </c>
      <c r="AK39" s="46">
        <v>1046.4464886146143</v>
      </c>
      <c r="AL39" s="46">
        <v>1112.467716021119</v>
      </c>
      <c r="AM39" s="46">
        <v>1228.9880960905477</v>
      </c>
      <c r="AN39" s="46">
        <v>1401.3023204000992</v>
      </c>
      <c r="AO39" s="46">
        <v>1416.1301396992046</v>
      </c>
      <c r="AP39" s="702"/>
    </row>
    <row r="40" spans="1:42" ht="15">
      <c r="B40" s="702"/>
      <c r="C40" s="702"/>
      <c r="J40" s="372" t="s">
        <v>1135</v>
      </c>
      <c r="AA40" t="s">
        <v>1088</v>
      </c>
      <c r="AB40" s="46">
        <v>0</v>
      </c>
      <c r="AC40" s="46">
        <v>0</v>
      </c>
      <c r="AD40" s="46">
        <v>715.49554104644744</v>
      </c>
      <c r="AE40" s="46">
        <v>740.45736213255259</v>
      </c>
      <c r="AF40" s="46">
        <v>781.32010165795566</v>
      </c>
      <c r="AG40" s="46">
        <v>844.53264176647372</v>
      </c>
      <c r="AH40" s="46">
        <v>932.17840439161796</v>
      </c>
      <c r="AI40" s="46">
        <v>1006.4780883219698</v>
      </c>
      <c r="AJ40" s="46">
        <v>1089.1561779631054</v>
      </c>
      <c r="AK40" s="46">
        <v>1137.7480098188976</v>
      </c>
      <c r="AL40" s="46">
        <v>1204.0514061032447</v>
      </c>
      <c r="AM40" s="46">
        <v>1321.0697828651121</v>
      </c>
      <c r="AN40" s="46">
        <v>1494.1204602525943</v>
      </c>
      <c r="AO40" s="46">
        <v>1509.0116525896069</v>
      </c>
      <c r="AP40" s="702"/>
    </row>
    <row r="41" spans="1:42">
      <c r="B41" s="702"/>
      <c r="C41" s="702"/>
      <c r="J41" t="s">
        <v>1136</v>
      </c>
      <c r="K41" s="380">
        <v>261</v>
      </c>
      <c r="AA41" t="s">
        <v>1090</v>
      </c>
      <c r="AB41" s="46">
        <v>0</v>
      </c>
      <c r="AC41" s="46">
        <v>0</v>
      </c>
      <c r="AD41" s="46">
        <v>781.51280482800519</v>
      </c>
      <c r="AE41" s="46">
        <v>806.31166416999952</v>
      </c>
      <c r="AF41" s="46">
        <v>846.90763334471364</v>
      </c>
      <c r="AG41" s="46">
        <v>909.70749470429269</v>
      </c>
      <c r="AH41" s="46">
        <v>996.78106870908471</v>
      </c>
      <c r="AI41" s="46">
        <v>1070.5956932782931</v>
      </c>
      <c r="AJ41" s="46">
        <v>1152.7340242116104</v>
      </c>
      <c r="AK41" s="46">
        <v>1201.0086282016368</v>
      </c>
      <c r="AL41" s="46">
        <v>1266.8791668397739</v>
      </c>
      <c r="AM41" s="46">
        <v>1383.1335977548374</v>
      </c>
      <c r="AN41" s="46">
        <v>1555.0545286373151</v>
      </c>
      <c r="AO41" s="46">
        <v>1569.8485020517767</v>
      </c>
      <c r="AP41" s="702"/>
    </row>
    <row r="42" spans="1:42">
      <c r="B42" s="702"/>
      <c r="C42" s="702"/>
      <c r="J42" t="s">
        <v>1137</v>
      </c>
      <c r="K42" s="380">
        <v>1352</v>
      </c>
      <c r="AA42" t="s">
        <v>1129</v>
      </c>
      <c r="AB42" s="46">
        <v>0</v>
      </c>
      <c r="AC42" s="46">
        <v>0</v>
      </c>
      <c r="AD42" s="46">
        <v>0</v>
      </c>
      <c r="AE42" s="46">
        <v>873.59720433813175</v>
      </c>
      <c r="AF42" s="46">
        <v>914.17842847182192</v>
      </c>
      <c r="AG42" s="46">
        <v>976.95547842426288</v>
      </c>
      <c r="AH42" s="46">
        <v>1063.997425494915</v>
      </c>
      <c r="AI42" s="46">
        <v>1137.7852360123654</v>
      </c>
      <c r="AJ42" s="46">
        <v>1219.8937302592276</v>
      </c>
      <c r="AK42" s="46">
        <v>1268.1508031785079</v>
      </c>
      <c r="AL42" s="46">
        <v>1333.9974158209127</v>
      </c>
      <c r="AM42" s="46">
        <v>1450.2096184541399</v>
      </c>
      <c r="AN42" s="46">
        <v>1622.0680986443906</v>
      </c>
      <c r="AO42" s="46">
        <v>1636.8567000979056</v>
      </c>
      <c r="AP42" s="702"/>
    </row>
    <row r="43" spans="1:42">
      <c r="B43" s="702"/>
      <c r="C43" s="702"/>
      <c r="J43" t="s">
        <v>1138</v>
      </c>
      <c r="K43" s="380">
        <v>1074</v>
      </c>
      <c r="AP43" s="702"/>
    </row>
    <row r="44" spans="1:42">
      <c r="B44" s="702"/>
      <c r="C44" s="702"/>
      <c r="J44" t="s">
        <v>1139</v>
      </c>
      <c r="K44" s="380">
        <v>734</v>
      </c>
      <c r="AA44" t="s">
        <v>1097</v>
      </c>
      <c r="AB44" s="46">
        <v>323.67987430335984</v>
      </c>
      <c r="AC44" s="46">
        <v>339.08355628369918</v>
      </c>
      <c r="AD44" s="46">
        <v>353.84241842658628</v>
      </c>
      <c r="AE44" s="46">
        <v>378.74088327078181</v>
      </c>
      <c r="AF44" s="46">
        <v>419.499906065841</v>
      </c>
      <c r="AG44" s="46">
        <v>482.55200419073566</v>
      </c>
      <c r="AH44" s="46">
        <v>569.97531144347749</v>
      </c>
      <c r="AI44" s="46">
        <v>644.08641288911463</v>
      </c>
      <c r="AJ44" s="46">
        <v>726.55465453073009</v>
      </c>
      <c r="AK44" s="46">
        <v>775.02315629623718</v>
      </c>
      <c r="AL44" s="46">
        <v>841.15826380680653</v>
      </c>
      <c r="AM44" s="46">
        <v>957.87963117263189</v>
      </c>
      <c r="AN44" s="46">
        <v>1130.491086137949</v>
      </c>
      <c r="AO44" s="46">
        <v>1145.3444812180985</v>
      </c>
      <c r="AP44" s="702"/>
    </row>
    <row r="45" spans="1:42">
      <c r="B45" s="702"/>
      <c r="C45" s="702"/>
      <c r="J45" t="s">
        <v>1140</v>
      </c>
      <c r="K45" s="380">
        <v>581</v>
      </c>
      <c r="AA45" t="s">
        <v>1099</v>
      </c>
      <c r="AB45" s="46">
        <v>0</v>
      </c>
      <c r="AC45" s="46">
        <v>436.2289358462636</v>
      </c>
      <c r="AD45" s="46">
        <v>450.88978521382421</v>
      </c>
      <c r="AE45" s="46">
        <v>475.62290179429039</v>
      </c>
      <c r="AF45" s="46">
        <v>516.11124964747023</v>
      </c>
      <c r="AG45" s="46">
        <v>578.74462427185028</v>
      </c>
      <c r="AH45" s="46">
        <v>665.58735918937532</v>
      </c>
      <c r="AI45" s="46">
        <v>739.20629501538883</v>
      </c>
      <c r="AJ45" s="46">
        <v>821.12687225446234</v>
      </c>
      <c r="AK45" s="46">
        <v>869.27349779013582</v>
      </c>
      <c r="AL45" s="46">
        <v>934.96940977364511</v>
      </c>
      <c r="AM45" s="46">
        <v>1050.9156423534148</v>
      </c>
      <c r="AN45" s="46">
        <v>1222.3807968466433</v>
      </c>
      <c r="AO45" s="46">
        <v>1237.1355524988933</v>
      </c>
      <c r="AP45" s="702"/>
    </row>
    <row r="46" spans="1:42">
      <c r="B46" s="702"/>
      <c r="C46" s="702"/>
      <c r="J46" t="s">
        <v>1141</v>
      </c>
      <c r="K46" s="380">
        <v>889</v>
      </c>
      <c r="AA46" t="s">
        <v>1101</v>
      </c>
      <c r="AB46" s="46">
        <v>0</v>
      </c>
      <c r="AC46" s="46">
        <v>546.43765815918391</v>
      </c>
      <c r="AD46" s="46">
        <v>561.07753290293022</v>
      </c>
      <c r="AE46" s="46">
        <v>585.7752655223934</v>
      </c>
      <c r="AF46" s="46">
        <v>626.20568797940871</v>
      </c>
      <c r="AG46" s="46">
        <v>688.74945809278177</v>
      </c>
      <c r="AH46" s="46">
        <v>775.46795478682759</v>
      </c>
      <c r="AI46" s="46">
        <v>848.98157394048815</v>
      </c>
      <c r="AJ46" s="46">
        <v>930.78495318882358</v>
      </c>
      <c r="AK46" s="46">
        <v>978.86269707271333</v>
      </c>
      <c r="AL46" s="46">
        <v>1044.4646264889204</v>
      </c>
      <c r="AM46" s="46">
        <v>1160.2449769856478</v>
      </c>
      <c r="AN46" s="46">
        <v>1331.4648347468533</v>
      </c>
      <c r="AO46" s="46">
        <v>1346.1984782242121</v>
      </c>
      <c r="AP46" s="702"/>
    </row>
    <row r="47" spans="1:42">
      <c r="B47" s="702"/>
      <c r="C47" s="702"/>
      <c r="J47" t="s">
        <v>1142</v>
      </c>
      <c r="K47" s="380">
        <v>735</v>
      </c>
      <c r="AA47" t="s">
        <v>1131</v>
      </c>
      <c r="AB47" s="46">
        <v>0</v>
      </c>
      <c r="AC47" s="46">
        <v>0</v>
      </c>
      <c r="AD47" s="46">
        <v>671.26528059203622</v>
      </c>
      <c r="AE47" s="46">
        <v>695.92762925049647</v>
      </c>
      <c r="AF47" s="46">
        <v>736.30012631134719</v>
      </c>
      <c r="AG47" s="46">
        <v>798.75429191371325</v>
      </c>
      <c r="AH47" s="46">
        <v>885.34855038427986</v>
      </c>
      <c r="AI47" s="46">
        <v>958.75685286558746</v>
      </c>
      <c r="AJ47" s="46">
        <v>1040.4430341231848</v>
      </c>
      <c r="AK47" s="46">
        <v>1088.451896355291</v>
      </c>
      <c r="AL47" s="46">
        <v>1153.9598432041957</v>
      </c>
      <c r="AM47" s="46">
        <v>1269.5743116178808</v>
      </c>
      <c r="AN47" s="46">
        <v>1440.5488726470633</v>
      </c>
      <c r="AO47" s="46">
        <v>1455.2614039495309</v>
      </c>
      <c r="AP47" s="702"/>
    </row>
    <row r="48" spans="1:42">
      <c r="B48" s="702"/>
      <c r="C48" s="702"/>
      <c r="J48" t="s">
        <v>1143</v>
      </c>
      <c r="K48" s="380">
        <v>598</v>
      </c>
      <c r="AB48" s="46"/>
      <c r="AC48" s="46"/>
      <c r="AD48" s="46"/>
      <c r="AE48" s="46"/>
      <c r="AF48" s="46"/>
      <c r="AG48" s="46"/>
      <c r="AH48" s="46"/>
      <c r="AI48" s="46"/>
      <c r="AJ48" s="46"/>
      <c r="AK48" s="46"/>
      <c r="AL48" s="46"/>
      <c r="AM48" s="46"/>
      <c r="AN48" s="46"/>
      <c r="AO48" s="46"/>
      <c r="AP48" s="702"/>
    </row>
    <row r="49" spans="2:42">
      <c r="B49" s="702"/>
      <c r="C49" s="702"/>
      <c r="J49" t="s">
        <v>1144</v>
      </c>
      <c r="K49" s="380">
        <v>457</v>
      </c>
      <c r="AB49" s="46"/>
      <c r="AC49" s="46"/>
      <c r="AD49" s="46"/>
      <c r="AE49" s="46"/>
      <c r="AF49" s="46"/>
      <c r="AG49" s="46"/>
      <c r="AH49" s="46"/>
      <c r="AI49" s="46"/>
      <c r="AJ49" s="46"/>
      <c r="AK49" s="46"/>
      <c r="AL49" s="46"/>
      <c r="AM49" s="46"/>
      <c r="AN49" s="46"/>
      <c r="AO49" s="46"/>
      <c r="AP49" s="702"/>
    </row>
    <row r="50" spans="2:42" ht="28.5">
      <c r="J50" t="s">
        <v>1145</v>
      </c>
      <c r="K50" s="380">
        <v>350</v>
      </c>
      <c r="AA50" s="369" t="s">
        <v>232</v>
      </c>
      <c r="AB50" s="46"/>
      <c r="AC50" s="46"/>
      <c r="AD50" s="46"/>
      <c r="AE50" s="46"/>
      <c r="AF50" s="46"/>
      <c r="AG50" s="46"/>
      <c r="AH50" s="46"/>
      <c r="AI50" s="46"/>
      <c r="AJ50" s="46"/>
      <c r="AK50" s="46"/>
      <c r="AL50" s="46"/>
      <c r="AM50" s="46"/>
      <c r="AN50" s="46"/>
      <c r="AO50" s="46"/>
      <c r="AP50" s="702"/>
    </row>
    <row r="51" spans="2:42">
      <c r="J51" t="s">
        <v>1146</v>
      </c>
      <c r="K51" s="380">
        <v>452</v>
      </c>
      <c r="AA51" t="s">
        <v>1086</v>
      </c>
      <c r="AB51" s="46">
        <v>0</v>
      </c>
      <c r="AC51" s="46">
        <v>600.26635653116296</v>
      </c>
      <c r="AD51" s="46">
        <v>614.99980437653721</v>
      </c>
      <c r="AE51" s="46">
        <v>639.85539466331852</v>
      </c>
      <c r="AF51" s="46">
        <v>680.54423314864482</v>
      </c>
      <c r="AG51" s="46">
        <v>743.48775913752183</v>
      </c>
      <c r="AH51" s="46">
        <v>830.76052782954912</v>
      </c>
      <c r="AI51" s="46">
        <v>904.74401446537684</v>
      </c>
      <c r="AJ51" s="46">
        <v>987.07024802726278</v>
      </c>
      <c r="AK51" s="46">
        <v>1035.4552897614951</v>
      </c>
      <c r="AL51" s="46">
        <v>1101.4765179798469</v>
      </c>
      <c r="AM51" s="46">
        <v>1217.9968972560202</v>
      </c>
      <c r="AN51" s="46">
        <v>1390.3111232450415</v>
      </c>
      <c r="AO51" s="46">
        <v>1405.1389413542647</v>
      </c>
      <c r="AP51" s="702"/>
    </row>
    <row r="52" spans="2:42">
      <c r="J52" t="s">
        <v>1147</v>
      </c>
      <c r="K52" s="380">
        <v>331</v>
      </c>
      <c r="AA52" t="s">
        <v>1088</v>
      </c>
      <c r="AB52" s="46">
        <v>0</v>
      </c>
      <c r="AC52" s="46">
        <v>0</v>
      </c>
      <c r="AD52" s="46">
        <v>704.45736837124161</v>
      </c>
      <c r="AE52" s="46">
        <v>729.41918868798314</v>
      </c>
      <c r="AF52" s="46">
        <v>770.28192662984111</v>
      </c>
      <c r="AG52" s="46">
        <v>833.49446845635612</v>
      </c>
      <c r="AH52" s="46">
        <v>921.14023138028256</v>
      </c>
      <c r="AI52" s="46">
        <v>995.4399150865479</v>
      </c>
      <c r="AJ52" s="46">
        <v>1078.1180035624334</v>
      </c>
      <c r="AK52" s="46">
        <v>1126.709837390187</v>
      </c>
      <c r="AL52" s="46">
        <v>1193.013232479406</v>
      </c>
      <c r="AM52" s="46">
        <v>1310.0316089723692</v>
      </c>
      <c r="AN52" s="46">
        <v>1483.0822852244801</v>
      </c>
      <c r="AO52" s="46">
        <v>1497.9734785175951</v>
      </c>
      <c r="AP52" s="702"/>
    </row>
    <row r="53" spans="2:42">
      <c r="J53" t="s">
        <v>1148</v>
      </c>
      <c r="K53" s="380">
        <v>113</v>
      </c>
      <c r="AA53" t="s">
        <v>1090</v>
      </c>
      <c r="AB53" s="46">
        <v>0</v>
      </c>
      <c r="AC53" s="46">
        <v>0</v>
      </c>
      <c r="AD53" s="46">
        <v>770.54669346056608</v>
      </c>
      <c r="AE53" s="46">
        <v>795.34555169973476</v>
      </c>
      <c r="AF53" s="46">
        <v>835.94152268738696</v>
      </c>
      <c r="AG53" s="46">
        <v>898.74138418683651</v>
      </c>
      <c r="AH53" s="46">
        <v>985.81495911692639</v>
      </c>
      <c r="AI53" s="46">
        <v>1059.6295812545379</v>
      </c>
      <c r="AJ53" s="46">
        <v>1141.7679114777436</v>
      </c>
      <c r="AK53" s="46">
        <v>1190.0425165867346</v>
      </c>
      <c r="AL53" s="46">
        <v>1255.9130558058725</v>
      </c>
      <c r="AM53" s="46">
        <v>1372.1674865487873</v>
      </c>
      <c r="AN53" s="46">
        <v>1544.0884155376327</v>
      </c>
      <c r="AO53" s="46">
        <v>1558.8823911039494</v>
      </c>
      <c r="AP53" s="702"/>
    </row>
    <row r="54" spans="2:42">
      <c r="J54" t="s">
        <v>1149</v>
      </c>
      <c r="K54" s="380">
        <v>181</v>
      </c>
      <c r="M54" s="702"/>
      <c r="N54" s="702"/>
      <c r="O54" s="702"/>
      <c r="P54" s="702"/>
      <c r="Q54" s="702"/>
      <c r="R54" s="702"/>
      <c r="S54" s="702"/>
      <c r="T54" s="702"/>
      <c r="U54" s="702"/>
      <c r="AA54" t="s">
        <v>1129</v>
      </c>
      <c r="AB54" s="46">
        <v>0</v>
      </c>
      <c r="AC54" s="46">
        <v>0</v>
      </c>
      <c r="AD54" s="46">
        <v>0</v>
      </c>
      <c r="AE54" s="46">
        <v>862.63507709406531</v>
      </c>
      <c r="AF54" s="46">
        <v>903.21629961136762</v>
      </c>
      <c r="AG54" s="46">
        <v>965.99334976953082</v>
      </c>
      <c r="AH54" s="46">
        <v>1053.0352976630711</v>
      </c>
      <c r="AI54" s="46">
        <v>1126.8231098850763</v>
      </c>
      <c r="AJ54" s="46">
        <v>1208.9316031327166</v>
      </c>
      <c r="AK54" s="46">
        <v>1257.1886748176644</v>
      </c>
      <c r="AL54" s="46">
        <v>1323.0352845799598</v>
      </c>
      <c r="AM54" s="46">
        <v>1439.247486801743</v>
      </c>
      <c r="AN54" s="46">
        <v>1611.1059698133254</v>
      </c>
      <c r="AO54" s="46">
        <v>1625.8945699737296</v>
      </c>
      <c r="AP54" s="702"/>
    </row>
    <row r="55" spans="2:42">
      <c r="K55" s="380"/>
      <c r="M55" s="702"/>
      <c r="N55" s="702"/>
      <c r="O55" s="702"/>
      <c r="P55" s="702"/>
      <c r="Q55" s="702"/>
      <c r="R55" s="702"/>
      <c r="S55" s="702"/>
      <c r="T55" s="702"/>
      <c r="U55" s="702"/>
      <c r="AP55" s="702"/>
    </row>
    <row r="56" spans="2:42" ht="15">
      <c r="J56" s="372" t="s">
        <v>18</v>
      </c>
      <c r="K56" s="707">
        <v>8108</v>
      </c>
      <c r="AA56" t="s">
        <v>1097</v>
      </c>
      <c r="AB56" s="46">
        <v>312.66971696548228</v>
      </c>
      <c r="AC56" s="46">
        <v>328.07339901500308</v>
      </c>
      <c r="AD56" s="46">
        <v>342.83226102310766</v>
      </c>
      <c r="AE56" s="46">
        <v>367.73072562659536</v>
      </c>
      <c r="AF56" s="46">
        <v>408.48974902470911</v>
      </c>
      <c r="AG56" s="46">
        <v>471.54184767898971</v>
      </c>
      <c r="AH56" s="46">
        <v>558.96515472100509</v>
      </c>
      <c r="AI56" s="46">
        <v>633.07625581714467</v>
      </c>
      <c r="AJ56" s="46">
        <v>715.54449708527738</v>
      </c>
      <c r="AK56" s="46">
        <v>764.01299802843732</v>
      </c>
      <c r="AL56" s="46">
        <v>830.14810681364497</v>
      </c>
      <c r="AM56" s="46">
        <v>946.86947496755272</v>
      </c>
      <c r="AN56" s="46">
        <v>1119.4809290831115</v>
      </c>
      <c r="AO56" s="46">
        <v>1134.3343238617335</v>
      </c>
      <c r="AP56" s="702"/>
    </row>
    <row r="57" spans="2:42">
      <c r="K57" s="380"/>
      <c r="AA57" t="s">
        <v>1099</v>
      </c>
      <c r="AB57" s="46">
        <v>0</v>
      </c>
      <c r="AC57" s="46">
        <v>425.29189706313002</v>
      </c>
      <c r="AD57" s="46">
        <v>439.95274663259823</v>
      </c>
      <c r="AE57" s="46">
        <v>464.685862294385</v>
      </c>
      <c r="AF57" s="46">
        <v>505.17420911783626</v>
      </c>
      <c r="AG57" s="46">
        <v>567.80758257115235</v>
      </c>
      <c r="AH57" s="46">
        <v>654.65031979042362</v>
      </c>
      <c r="AI57" s="46">
        <v>728.26925618177847</v>
      </c>
      <c r="AJ57" s="46">
        <v>810.18983309779969</v>
      </c>
      <c r="AK57" s="46">
        <v>858.3364578258429</v>
      </c>
      <c r="AL57" s="46">
        <v>924.03236972858917</v>
      </c>
      <c r="AM57" s="46">
        <v>1039.9786022275957</v>
      </c>
      <c r="AN57" s="46">
        <v>1211.4437568015874</v>
      </c>
      <c r="AO57" s="46">
        <v>1226.1985119692592</v>
      </c>
      <c r="AP57" s="702"/>
    </row>
    <row r="58" spans="2:42">
      <c r="K58" s="707"/>
      <c r="AA58" t="s">
        <v>1101</v>
      </c>
      <c r="AB58" s="46">
        <v>0</v>
      </c>
      <c r="AC58" s="46">
        <v>535.51626423411403</v>
      </c>
      <c r="AD58" s="46">
        <v>550.15613998037725</v>
      </c>
      <c r="AE58" s="46">
        <v>574.85387171958155</v>
      </c>
      <c r="AF58" s="46">
        <v>615.28429405433894</v>
      </c>
      <c r="AG58" s="46">
        <v>677.82806763984365</v>
      </c>
      <c r="AH58" s="46">
        <v>764.54656482292194</v>
      </c>
      <c r="AI58" s="46">
        <v>838.06017967309549</v>
      </c>
      <c r="AJ58" s="46">
        <v>919.863556378461</v>
      </c>
      <c r="AK58" s="46">
        <v>967.94130309874015</v>
      </c>
      <c r="AL58" s="46">
        <v>1033.5432367206281</v>
      </c>
      <c r="AM58" s="46">
        <v>1149.3235859458707</v>
      </c>
      <c r="AN58" s="46">
        <v>1320.5434439026892</v>
      </c>
      <c r="AO58" s="46">
        <v>1335.2770867932088</v>
      </c>
      <c r="AP58" s="702"/>
    </row>
    <row r="59" spans="2:42">
      <c r="AA59" t="s">
        <v>1131</v>
      </c>
      <c r="AB59" s="46">
        <v>0</v>
      </c>
      <c r="AC59" s="46">
        <v>0</v>
      </c>
      <c r="AD59" s="46">
        <v>660.3595333281562</v>
      </c>
      <c r="AE59" s="46">
        <v>685.02188114477804</v>
      </c>
      <c r="AF59" s="46">
        <v>725.39437899084169</v>
      </c>
      <c r="AG59" s="46">
        <v>787.84855270853495</v>
      </c>
      <c r="AH59" s="46">
        <v>874.44280985542025</v>
      </c>
      <c r="AI59" s="46">
        <v>947.85110316441251</v>
      </c>
      <c r="AJ59" s="46">
        <v>1029.5372796591223</v>
      </c>
      <c r="AK59" s="46">
        <v>1077.5461483716374</v>
      </c>
      <c r="AL59" s="46">
        <v>1143.054103712667</v>
      </c>
      <c r="AM59" s="46">
        <v>1258.6685696641457</v>
      </c>
      <c r="AN59" s="46">
        <v>1429.643131003791</v>
      </c>
      <c r="AO59" s="46">
        <v>1444.3556616171584</v>
      </c>
      <c r="AP59" s="702"/>
    </row>
    <row r="60" spans="2:42">
      <c r="AP60" s="702"/>
    </row>
    <row r="61" spans="2:42">
      <c r="AP61" s="702"/>
    </row>
    <row r="62" spans="2:42" ht="28.5">
      <c r="AA62" s="369" t="s">
        <v>239</v>
      </c>
      <c r="AP62" s="702"/>
    </row>
    <row r="63" spans="2:42">
      <c r="AA63" t="s">
        <v>1086</v>
      </c>
      <c r="AB63" s="46">
        <v>0</v>
      </c>
      <c r="AC63" s="46">
        <v>634.68352900776608</v>
      </c>
      <c r="AD63" s="46">
        <v>649.41697698793166</v>
      </c>
      <c r="AE63" s="46">
        <v>674.27256723443031</v>
      </c>
      <c r="AF63" s="46">
        <v>714.96140606370716</v>
      </c>
      <c r="AG63" s="46">
        <v>777.90493237794271</v>
      </c>
      <c r="AH63" s="46">
        <v>865.17770128997438</v>
      </c>
      <c r="AI63" s="46">
        <v>939.16118656549361</v>
      </c>
      <c r="AJ63" s="46">
        <v>1021.487422203477</v>
      </c>
      <c r="AK63" s="46">
        <v>1069.8724619607688</v>
      </c>
      <c r="AL63" s="46">
        <v>1135.8936905261696</v>
      </c>
      <c r="AM63" s="46">
        <v>1252.4140707939121</v>
      </c>
      <c r="AN63" s="46">
        <v>1424.7282959215081</v>
      </c>
      <c r="AO63" s="46">
        <v>1439.5561152206133</v>
      </c>
      <c r="AP63" s="702"/>
    </row>
    <row r="64" spans="2:42">
      <c r="AA64" t="s">
        <v>1088</v>
      </c>
      <c r="AB64" s="46">
        <v>0</v>
      </c>
      <c r="AC64" s="46">
        <v>0</v>
      </c>
      <c r="AD64" s="46">
        <v>739.02163511444348</v>
      </c>
      <c r="AE64" s="46">
        <v>763.98345655908724</v>
      </c>
      <c r="AF64" s="46">
        <v>804.84619596497726</v>
      </c>
      <c r="AG64" s="46">
        <v>868.05873534147929</v>
      </c>
      <c r="AH64" s="46">
        <v>955.70449986388974</v>
      </c>
      <c r="AI64" s="46">
        <v>1030.0041827036871</v>
      </c>
      <c r="AJ64" s="46">
        <v>1112.6822711496945</v>
      </c>
      <c r="AK64" s="46">
        <v>1161.2741048579353</v>
      </c>
      <c r="AL64" s="46">
        <v>1227.5775005745963</v>
      </c>
      <c r="AM64" s="46">
        <v>1344.5958767687782</v>
      </c>
      <c r="AN64" s="46">
        <v>1517.6465557696833</v>
      </c>
      <c r="AO64" s="46">
        <v>1532.5377470908372</v>
      </c>
      <c r="AP64" s="702"/>
    </row>
    <row r="65" spans="27:42">
      <c r="AA65" t="s">
        <v>1090</v>
      </c>
      <c r="AB65" s="46">
        <v>0</v>
      </c>
      <c r="AC65" s="46">
        <v>0</v>
      </c>
      <c r="AD65" s="46">
        <v>804.88531190040396</v>
      </c>
      <c r="AE65" s="46">
        <v>829.68417210852022</v>
      </c>
      <c r="AF65" s="46">
        <v>870.28013985763039</v>
      </c>
      <c r="AG65" s="46">
        <v>933.08000094822739</v>
      </c>
      <c r="AH65" s="46">
        <v>1020.1535760827435</v>
      </c>
      <c r="AI65" s="46">
        <v>1093.9681975855581</v>
      </c>
      <c r="AJ65" s="46">
        <v>1176.1065295732849</v>
      </c>
      <c r="AK65" s="46">
        <v>1224.3811360809816</v>
      </c>
      <c r="AL65" s="46">
        <v>1290.2516733204127</v>
      </c>
      <c r="AM65" s="46">
        <v>1406.5061031810669</v>
      </c>
      <c r="AN65" s="46">
        <v>1578.4270330736917</v>
      </c>
      <c r="AO65" s="46">
        <v>1593.2210092855648</v>
      </c>
      <c r="AP65" s="702"/>
    </row>
    <row r="66" spans="27:42">
      <c r="AA66" t="s">
        <v>1129</v>
      </c>
      <c r="AB66" s="46">
        <v>0</v>
      </c>
      <c r="AC66" s="46">
        <v>0</v>
      </c>
      <c r="AD66" s="46">
        <v>0</v>
      </c>
      <c r="AE66" s="46">
        <v>896.96122041141155</v>
      </c>
      <c r="AF66" s="46">
        <v>937.54244375160215</v>
      </c>
      <c r="AG66" s="46">
        <v>1000.3194957612642</v>
      </c>
      <c r="AH66" s="46">
        <v>1087.3614433609159</v>
      </c>
      <c r="AI66" s="46">
        <v>1161.1492532318111</v>
      </c>
      <c r="AJ66" s="46">
        <v>1243.2577508877825</v>
      </c>
      <c r="AK66" s="46">
        <v>1291.514818517066</v>
      </c>
      <c r="AL66" s="46">
        <v>1357.3614317472479</v>
      </c>
      <c r="AM66" s="46">
        <v>1473.573632558365</v>
      </c>
      <c r="AN66" s="46">
        <v>1645.4321152172811</v>
      </c>
      <c r="AO66" s="46">
        <v>1660.2207176112399</v>
      </c>
      <c r="AP66" s="702"/>
    </row>
    <row r="67" spans="27:42">
      <c r="AP67" s="702"/>
    </row>
    <row r="68" spans="27:42">
      <c r="AA68" t="s">
        <v>1097</v>
      </c>
      <c r="AB68" s="46">
        <v>347.14625675456119</v>
      </c>
      <c r="AC68" s="46">
        <v>362.54993863392571</v>
      </c>
      <c r="AD68" s="46">
        <v>377.30880068575101</v>
      </c>
      <c r="AE68" s="46">
        <v>402.20726523013258</v>
      </c>
      <c r="AF68" s="46">
        <v>442.96628894090946</v>
      </c>
      <c r="AG68" s="46">
        <v>506.01838637194879</v>
      </c>
      <c r="AH68" s="46">
        <v>593.44169355102201</v>
      </c>
      <c r="AI68" s="46">
        <v>667.55279541468553</v>
      </c>
      <c r="AJ68" s="46">
        <v>750.02103592214735</v>
      </c>
      <c r="AK68" s="46">
        <v>798.48953805771066</v>
      </c>
      <c r="AL68" s="46">
        <v>864.62464656194959</v>
      </c>
      <c r="AM68" s="46">
        <v>981.34601440747701</v>
      </c>
      <c r="AN68" s="46">
        <v>1153.9574685778589</v>
      </c>
      <c r="AO68" s="46">
        <v>1168.8108630960712</v>
      </c>
      <c r="AP68" s="702"/>
    </row>
    <row r="69" spans="27:42">
      <c r="AA69" t="s">
        <v>1099</v>
      </c>
      <c r="AB69" s="46">
        <v>0</v>
      </c>
      <c r="AC69" s="46">
        <v>459.53947984253864</v>
      </c>
      <c r="AD69" s="46">
        <v>474.20032958362822</v>
      </c>
      <c r="AE69" s="46">
        <v>498.93344598237775</v>
      </c>
      <c r="AF69" s="46">
        <v>539.4217909280884</v>
      </c>
      <c r="AG69" s="46">
        <v>602.05516749078117</v>
      </c>
      <c r="AH69" s="46">
        <v>688.89790361975145</v>
      </c>
      <c r="AI69" s="46">
        <v>762.51684001110641</v>
      </c>
      <c r="AJ69" s="46">
        <v>844.43741515034117</v>
      </c>
      <c r="AK69" s="46">
        <v>892.58404084754056</v>
      </c>
      <c r="AL69" s="46">
        <v>958.27995258876081</v>
      </c>
      <c r="AM69" s="46">
        <v>1074.2261859761607</v>
      </c>
      <c r="AN69" s="46">
        <v>1245.6913407924415</v>
      </c>
      <c r="AO69" s="46">
        <v>1260.4460959601131</v>
      </c>
      <c r="AP69" s="702"/>
    </row>
    <row r="70" spans="27:42">
      <c r="AA70" t="s">
        <v>1101</v>
      </c>
      <c r="AB70" s="46">
        <v>0</v>
      </c>
      <c r="AC70" s="46">
        <v>569.71485373273197</v>
      </c>
      <c r="AD70" s="46">
        <v>584.35472847647827</v>
      </c>
      <c r="AE70" s="46">
        <v>609.05245896864938</v>
      </c>
      <c r="AF70" s="46">
        <v>649.48288472663512</v>
      </c>
      <c r="AG70" s="46">
        <v>712.02665361742663</v>
      </c>
      <c r="AH70" s="46">
        <v>798.74515060489193</v>
      </c>
      <c r="AI70" s="46">
        <v>872.25876457480661</v>
      </c>
      <c r="AJ70" s="46">
        <v>954.06214617049841</v>
      </c>
      <c r="AK70" s="46">
        <v>1002.1398922061319</v>
      </c>
      <c r="AL70" s="46">
        <v>1067.741819764015</v>
      </c>
      <c r="AM70" s="46">
        <v>1183.5221788677172</v>
      </c>
      <c r="AN70" s="46">
        <v>1354.7420291956264</v>
      </c>
      <c r="AO70" s="46">
        <v>1369.4756748247287</v>
      </c>
      <c r="AP70" s="702"/>
    </row>
    <row r="71" spans="27:42">
      <c r="AA71" t="s">
        <v>1131</v>
      </c>
      <c r="AB71" s="46">
        <v>0</v>
      </c>
      <c r="AC71" s="46">
        <v>0</v>
      </c>
      <c r="AD71" s="46">
        <v>694.50912736932833</v>
      </c>
      <c r="AE71" s="46">
        <v>719.171471954921</v>
      </c>
      <c r="AF71" s="46">
        <v>759.54397852518184</v>
      </c>
      <c r="AG71" s="46">
        <v>821.99813974407209</v>
      </c>
      <c r="AH71" s="46">
        <v>908.59239759003242</v>
      </c>
      <c r="AI71" s="46">
        <v>982.0006891385068</v>
      </c>
      <c r="AJ71" s="46">
        <v>1063.6868771906557</v>
      </c>
      <c r="AK71" s="46">
        <v>1111.6957435647232</v>
      </c>
      <c r="AL71" s="46">
        <v>1177.2036869392691</v>
      </c>
      <c r="AM71" s="46">
        <v>1292.8181717592738</v>
      </c>
      <c r="AN71" s="46">
        <v>1463.7927175988114</v>
      </c>
      <c r="AO71" s="46">
        <v>1478.5052536893443</v>
      </c>
    </row>
    <row r="72" spans="27:42">
      <c r="AB72" s="46"/>
      <c r="AC72" s="46"/>
      <c r="AD72" s="46"/>
      <c r="AE72" s="46"/>
      <c r="AF72" s="46"/>
      <c r="AG72" s="46"/>
      <c r="AH72" s="46"/>
      <c r="AI72" s="46"/>
      <c r="AJ72" s="46"/>
      <c r="AK72" s="46"/>
      <c r="AL72" s="46"/>
      <c r="AM72" s="46"/>
      <c r="AN72" s="46"/>
      <c r="AO72" s="46"/>
      <c r="AP72" s="702"/>
    </row>
    <row r="73" spans="27:42">
      <c r="AB73" s="46"/>
      <c r="AC73" s="46"/>
      <c r="AD73" s="46"/>
      <c r="AE73" s="46"/>
      <c r="AF73" s="46"/>
      <c r="AG73" s="46"/>
      <c r="AH73" s="46"/>
      <c r="AI73" s="46"/>
      <c r="AJ73" s="46"/>
      <c r="AK73" s="46"/>
      <c r="AL73" s="46"/>
      <c r="AM73" s="46"/>
      <c r="AN73" s="46"/>
      <c r="AO73" s="46"/>
      <c r="AP73" s="702"/>
    </row>
    <row r="74" spans="27:42" ht="28.5">
      <c r="AA74" s="369" t="s">
        <v>230</v>
      </c>
      <c r="AB74" s="46"/>
      <c r="AC74" s="46"/>
      <c r="AD74" s="46"/>
      <c r="AE74" s="46"/>
      <c r="AF74" s="46"/>
      <c r="AG74" s="46"/>
      <c r="AH74" s="46"/>
      <c r="AI74" s="46"/>
      <c r="AJ74" s="46"/>
      <c r="AK74" s="46"/>
      <c r="AL74" s="46"/>
      <c r="AM74" s="46"/>
      <c r="AN74" s="46"/>
      <c r="AO74" s="46"/>
      <c r="AP74" s="702"/>
    </row>
    <row r="75" spans="27:42">
      <c r="AA75" t="s">
        <v>1086</v>
      </c>
      <c r="AB75" s="46">
        <v>0</v>
      </c>
      <c r="AC75" s="46">
        <v>578.09267713550048</v>
      </c>
      <c r="AD75" s="46">
        <v>592.82612507848228</v>
      </c>
      <c r="AE75" s="46">
        <v>617.68171530793848</v>
      </c>
      <c r="AF75" s="46">
        <v>658.37055436806486</v>
      </c>
      <c r="AG75" s="46">
        <v>721.31407964580092</v>
      </c>
      <c r="AH75" s="46">
        <v>808.58684850825432</v>
      </c>
      <c r="AI75" s="46">
        <v>882.57033465759343</v>
      </c>
      <c r="AJ75" s="46">
        <v>964.89656992373841</v>
      </c>
      <c r="AK75" s="46">
        <v>1013.2816111312</v>
      </c>
      <c r="AL75" s="46">
        <v>1079.3028374097951</v>
      </c>
      <c r="AM75" s="46">
        <v>1195.8232186691064</v>
      </c>
      <c r="AN75" s="46">
        <v>1368.1374453088447</v>
      </c>
      <c r="AO75" s="46">
        <v>1382.965262885099</v>
      </c>
      <c r="AP75" s="702"/>
    </row>
    <row r="76" spans="27:42">
      <c r="AA76" t="s">
        <v>1088</v>
      </c>
      <c r="AB76" s="46">
        <v>0</v>
      </c>
      <c r="AC76" s="46">
        <v>0</v>
      </c>
      <c r="AD76" s="46">
        <v>682.18892025312095</v>
      </c>
      <c r="AE76" s="46">
        <v>707.1507415483735</v>
      </c>
      <c r="AF76" s="46">
        <v>748.01348087209863</v>
      </c>
      <c r="AG76" s="46">
        <v>811.22601908335082</v>
      </c>
      <c r="AH76" s="46">
        <v>898.87178220148553</v>
      </c>
      <c r="AI76" s="46">
        <v>973.17146643061938</v>
      </c>
      <c r="AJ76" s="46">
        <v>1055.8495558028512</v>
      </c>
      <c r="AK76" s="46">
        <v>1104.4413908854892</v>
      </c>
      <c r="AL76" s="46">
        <v>1170.7447866917851</v>
      </c>
      <c r="AM76" s="46">
        <v>1287.763160465832</v>
      </c>
      <c r="AN76" s="46">
        <v>1460.8138409606474</v>
      </c>
      <c r="AO76" s="46">
        <v>1475.705030070814</v>
      </c>
      <c r="AP76" s="702"/>
    </row>
    <row r="77" spans="27:42">
      <c r="AA77" t="s">
        <v>1090</v>
      </c>
      <c r="AB77" s="46">
        <v>0</v>
      </c>
      <c r="AC77" s="46">
        <v>0</v>
      </c>
      <c r="AD77" s="46">
        <v>748.42362379914607</v>
      </c>
      <c r="AE77" s="46">
        <v>773.22248330790922</v>
      </c>
      <c r="AF77" s="46">
        <v>813.81845266015159</v>
      </c>
      <c r="AG77" s="46">
        <v>876.61831333113673</v>
      </c>
      <c r="AH77" s="46">
        <v>963.69188813211542</v>
      </c>
      <c r="AI77" s="46">
        <v>1037.506512055767</v>
      </c>
      <c r="AJ77" s="46">
        <v>1119.6448417194899</v>
      </c>
      <c r="AK77" s="46">
        <v>1167.9194486360395</v>
      </c>
      <c r="AL77" s="46">
        <v>1233.789986521027</v>
      </c>
      <c r="AM77" s="46">
        <v>1350.0444150690496</v>
      </c>
      <c r="AN77" s="46">
        <v>1521.9653468122699</v>
      </c>
      <c r="AO77" s="46">
        <v>1536.7593205710284</v>
      </c>
      <c r="AP77" s="702"/>
    </row>
    <row r="78" spans="27:42">
      <c r="AA78" t="s">
        <v>1129</v>
      </c>
      <c r="AB78" s="46">
        <v>0</v>
      </c>
      <c r="AC78" s="46">
        <v>0</v>
      </c>
      <c r="AD78" s="46">
        <v>0</v>
      </c>
      <c r="AE78" s="46">
        <v>840.52004257487988</v>
      </c>
      <c r="AF78" s="46">
        <v>881.10126761962499</v>
      </c>
      <c r="AG78" s="46">
        <v>943.87831716062192</v>
      </c>
      <c r="AH78" s="46">
        <v>1030.9202624973307</v>
      </c>
      <c r="AI78" s="46">
        <v>1104.70807460178</v>
      </c>
      <c r="AJ78" s="46">
        <v>1186.8165712585296</v>
      </c>
      <c r="AK78" s="46">
        <v>1235.073639181702</v>
      </c>
      <c r="AL78" s="46">
        <v>1300.92025382255</v>
      </c>
      <c r="AM78" s="46">
        <v>1417.1324545748894</v>
      </c>
      <c r="AN78" s="46">
        <v>1588.9909394673593</v>
      </c>
      <c r="AO78" s="46">
        <v>1603.7795397453194</v>
      </c>
      <c r="AP78" s="702"/>
    </row>
    <row r="79" spans="27:42">
      <c r="AP79" s="702"/>
    </row>
    <row r="80" spans="27:42">
      <c r="AA80" t="s">
        <v>1097</v>
      </c>
      <c r="AB80" s="46">
        <v>290.45779013383293</v>
      </c>
      <c r="AC80" s="46">
        <v>305.86147228342168</v>
      </c>
      <c r="AD80" s="46">
        <v>320.62033440735286</v>
      </c>
      <c r="AE80" s="46">
        <v>345.5187987465759</v>
      </c>
      <c r="AF80" s="46">
        <v>386.27782226932663</v>
      </c>
      <c r="AG80" s="46">
        <v>449.32992070431465</v>
      </c>
      <c r="AH80" s="46">
        <v>536.75322761269865</v>
      </c>
      <c r="AI80" s="46">
        <v>610.86432858205978</v>
      </c>
      <c r="AJ80" s="46">
        <v>693.33256977823714</v>
      </c>
      <c r="AK80" s="46">
        <v>741.8010713998334</v>
      </c>
      <c r="AL80" s="46">
        <v>807.93617979442604</v>
      </c>
      <c r="AM80" s="46">
        <v>924.65754810595058</v>
      </c>
      <c r="AN80" s="46">
        <v>1097.2690006933142</v>
      </c>
      <c r="AO80" s="46">
        <v>1112.1223978224782</v>
      </c>
      <c r="AP80" s="702"/>
    </row>
    <row r="81" spans="27:42">
      <c r="AA81" t="s">
        <v>1099</v>
      </c>
      <c r="AB81" s="46">
        <v>0</v>
      </c>
      <c r="AC81" s="46">
        <v>403.22747748994806</v>
      </c>
      <c r="AD81" s="46">
        <v>417.88832691808102</v>
      </c>
      <c r="AE81" s="46">
        <v>442.62144213567109</v>
      </c>
      <c r="AF81" s="46">
        <v>483.10979015037697</v>
      </c>
      <c r="AG81" s="46">
        <v>545.74316404788976</v>
      </c>
      <c r="AH81" s="46">
        <v>632.58590070181992</v>
      </c>
      <c r="AI81" s="46">
        <v>706.20483636630729</v>
      </c>
      <c r="AJ81" s="46">
        <v>788.12541215164629</v>
      </c>
      <c r="AK81" s="46">
        <v>836.27203946410634</v>
      </c>
      <c r="AL81" s="46">
        <v>901.9679503169333</v>
      </c>
      <c r="AM81" s="46">
        <v>1017.9141815237313</v>
      </c>
      <c r="AN81" s="46">
        <v>1189.3793395705331</v>
      </c>
      <c r="AO81" s="46">
        <v>1204.1340926383662</v>
      </c>
      <c r="AP81" s="702"/>
    </row>
    <row r="82" spans="27:42">
      <c r="AA82" t="s">
        <v>1101</v>
      </c>
      <c r="AB82" s="46">
        <v>0</v>
      </c>
      <c r="AC82" s="46">
        <v>513.48340988441385</v>
      </c>
      <c r="AD82" s="46">
        <v>528.12328580183851</v>
      </c>
      <c r="AE82" s="46">
        <v>552.82101996175425</v>
      </c>
      <c r="AF82" s="46">
        <v>593.25144019367133</v>
      </c>
      <c r="AG82" s="46">
        <v>655.79521177414233</v>
      </c>
      <c r="AH82" s="46">
        <v>742.51370871270433</v>
      </c>
      <c r="AI82" s="46">
        <v>816.02732322055488</v>
      </c>
      <c r="AJ82" s="46">
        <v>897.83070315353586</v>
      </c>
      <c r="AK82" s="46">
        <v>945.90845055846057</v>
      </c>
      <c r="AL82" s="46">
        <v>1011.5103749865349</v>
      </c>
      <c r="AM82" s="46">
        <v>1127.2907333077849</v>
      </c>
      <c r="AN82" s="46">
        <v>1298.5105855918246</v>
      </c>
      <c r="AO82" s="46">
        <v>1313.2442384586102</v>
      </c>
      <c r="AP82" s="702"/>
    </row>
    <row r="83" spans="27:42">
      <c r="AA83" t="s">
        <v>1131</v>
      </c>
      <c r="AB83" s="46">
        <v>0</v>
      </c>
      <c r="AC83" s="46">
        <v>0</v>
      </c>
      <c r="AD83" s="46">
        <v>638.35824468559599</v>
      </c>
      <c r="AE83" s="46">
        <v>663.02059778783746</v>
      </c>
      <c r="AF83" s="46">
        <v>703.39309023696569</v>
      </c>
      <c r="AG83" s="46">
        <v>765.8472595003949</v>
      </c>
      <c r="AH83" s="46">
        <v>852.44151672358873</v>
      </c>
      <c r="AI83" s="46">
        <v>925.84981007480246</v>
      </c>
      <c r="AJ83" s="46">
        <v>1007.5359941554254</v>
      </c>
      <c r="AK83" s="46">
        <v>1055.5448616528147</v>
      </c>
      <c r="AL83" s="46">
        <v>1121.0527996561364</v>
      </c>
      <c r="AM83" s="46">
        <v>1236.6672850918385</v>
      </c>
      <c r="AN83" s="46">
        <v>1407.641831613116</v>
      </c>
      <c r="AO83" s="46">
        <v>1422.3543842788542</v>
      </c>
      <c r="AP83" s="702"/>
    </row>
    <row r="84" spans="27:42">
      <c r="AP84" s="702"/>
    </row>
    <row r="85" spans="27:42">
      <c r="AP85" s="702"/>
    </row>
    <row r="86" spans="27:42" ht="28.5">
      <c r="AA86" s="369" t="s">
        <v>237</v>
      </c>
      <c r="AP86" s="702"/>
    </row>
    <row r="87" spans="27:42">
      <c r="AA87" t="s">
        <v>1086</v>
      </c>
      <c r="AB87" s="46">
        <v>0</v>
      </c>
      <c r="AC87" s="46">
        <v>640.64890948092886</v>
      </c>
      <c r="AD87" s="46">
        <v>655.38235758271662</v>
      </c>
      <c r="AE87" s="46">
        <v>680.23794827851987</v>
      </c>
      <c r="AF87" s="46">
        <v>720.92678693737093</v>
      </c>
      <c r="AG87" s="46">
        <v>783.87031252187353</v>
      </c>
      <c r="AH87" s="46">
        <v>871.14308047332293</v>
      </c>
      <c r="AI87" s="46">
        <v>945.12656763902021</v>
      </c>
      <c r="AJ87" s="46">
        <v>1027.4528020375424</v>
      </c>
      <c r="AK87" s="46">
        <v>1075.8378429785196</v>
      </c>
      <c r="AL87" s="46">
        <v>1141.859070942782</v>
      </c>
      <c r="AM87" s="46">
        <v>1258.3794506713587</v>
      </c>
      <c r="AN87" s="46">
        <v>1430.6936768153125</v>
      </c>
      <c r="AO87" s="46">
        <v>1445.5214958417369</v>
      </c>
      <c r="AP87" s="702"/>
    </row>
    <row r="88" spans="27:42">
      <c r="AA88" t="s">
        <v>1088</v>
      </c>
      <c r="AB88" s="46">
        <v>0</v>
      </c>
      <c r="AC88" s="46">
        <v>0</v>
      </c>
      <c r="AD88" s="46">
        <v>745.01251201231651</v>
      </c>
      <c r="AE88" s="46">
        <v>769.974332710005</v>
      </c>
      <c r="AF88" s="46">
        <v>810.83707284791114</v>
      </c>
      <c r="AG88" s="46">
        <v>874.04961185093566</v>
      </c>
      <c r="AH88" s="46">
        <v>961.69537481967939</v>
      </c>
      <c r="AI88" s="46">
        <v>1035.9950572561208</v>
      </c>
      <c r="AJ88" s="46">
        <v>1118.6731476442119</v>
      </c>
      <c r="AK88" s="46">
        <v>1167.2649818305038</v>
      </c>
      <c r="AL88" s="46">
        <v>1233.568375336178</v>
      </c>
      <c r="AM88" s="46">
        <v>1350.586752038289</v>
      </c>
      <c r="AN88" s="46">
        <v>1523.6374328318864</v>
      </c>
      <c r="AO88" s="46">
        <v>1538.5286223005915</v>
      </c>
      <c r="AP88" s="702"/>
    </row>
    <row r="89" spans="27:42">
      <c r="AA89" t="s">
        <v>1090</v>
      </c>
      <c r="AB89" s="46">
        <v>0</v>
      </c>
      <c r="AC89" s="46">
        <v>0</v>
      </c>
      <c r="AD89" s="46">
        <v>810.83707649951634</v>
      </c>
      <c r="AE89" s="46">
        <v>835.635935152917</v>
      </c>
      <c r="AF89" s="46">
        <v>876.23190602221712</v>
      </c>
      <c r="AG89" s="46">
        <v>939.03176576790474</v>
      </c>
      <c r="AH89" s="46">
        <v>1026.1053392670108</v>
      </c>
      <c r="AI89" s="46">
        <v>1099.9199630292733</v>
      </c>
      <c r="AJ89" s="46">
        <v>1182.0582950600372</v>
      </c>
      <c r="AK89" s="46">
        <v>1230.3328988563965</v>
      </c>
      <c r="AL89" s="46">
        <v>1296.2034390653876</v>
      </c>
      <c r="AM89" s="46">
        <v>1412.4578676564474</v>
      </c>
      <c r="AN89" s="46">
        <v>1584.3787970756639</v>
      </c>
      <c r="AO89" s="46">
        <v>1599.1727729862776</v>
      </c>
      <c r="AP89" s="702"/>
    </row>
    <row r="90" spans="27:42">
      <c r="AA90" t="s">
        <v>1129</v>
      </c>
      <c r="AB90" s="46">
        <v>0</v>
      </c>
      <c r="AC90" s="46">
        <v>0</v>
      </c>
      <c r="AD90" s="46">
        <v>0</v>
      </c>
      <c r="AE90" s="46">
        <v>902.91082398602134</v>
      </c>
      <c r="AF90" s="46">
        <v>943.49204785521169</v>
      </c>
      <c r="AG90" s="46">
        <v>1006.2690983366525</v>
      </c>
      <c r="AH90" s="46">
        <v>1093.3110461420263</v>
      </c>
      <c r="AI90" s="46">
        <v>1167.0988557778105</v>
      </c>
      <c r="AJ90" s="46">
        <v>1249.2073514353385</v>
      </c>
      <c r="AK90" s="46">
        <v>1297.4644225912866</v>
      </c>
      <c r="AL90" s="46">
        <v>1363.3110345283585</v>
      </c>
      <c r="AM90" s="46">
        <v>1479.5232364562528</v>
      </c>
      <c r="AN90" s="46">
        <v>1651.3817205258342</v>
      </c>
      <c r="AO90" s="46">
        <v>1666.1703244480143</v>
      </c>
      <c r="AP90" s="702"/>
    </row>
    <row r="91" spans="27:42">
      <c r="AP91" s="702"/>
    </row>
    <row r="92" spans="27:42">
      <c r="AA92" t="s">
        <v>1097</v>
      </c>
      <c r="AB92" s="46">
        <v>353.12192766813553</v>
      </c>
      <c r="AC92" s="46">
        <v>368.52560902527819</v>
      </c>
      <c r="AD92" s="46">
        <v>383.28447105376074</v>
      </c>
      <c r="AE92" s="46">
        <v>408.18293502699652</v>
      </c>
      <c r="AF92" s="46">
        <v>448.94195963593063</v>
      </c>
      <c r="AG92" s="46">
        <v>511.99405739248232</v>
      </c>
      <c r="AH92" s="46">
        <v>599.41736421691849</v>
      </c>
      <c r="AI92" s="46">
        <v>673.52846640609437</v>
      </c>
      <c r="AJ92" s="46">
        <v>755.99670657433808</v>
      </c>
      <c r="AK92" s="46">
        <v>804.46520808628804</v>
      </c>
      <c r="AL92" s="46">
        <v>870.60031747455002</v>
      </c>
      <c r="AM92" s="46">
        <v>987.32168432640844</v>
      </c>
      <c r="AN92" s="46">
        <v>1159.9331379211471</v>
      </c>
      <c r="AO92" s="46">
        <v>1174.7865336180569</v>
      </c>
      <c r="AP92" s="702"/>
    </row>
    <row r="93" spans="27:42">
      <c r="AA93" t="s">
        <v>1099</v>
      </c>
      <c r="AB93" s="46">
        <v>0</v>
      </c>
      <c r="AC93" s="46">
        <v>465.4754677173741</v>
      </c>
      <c r="AD93" s="46">
        <v>480.13631706979163</v>
      </c>
      <c r="AE93" s="46">
        <v>504.86943296377217</v>
      </c>
      <c r="AF93" s="46">
        <v>545.35777889883002</v>
      </c>
      <c r="AG93" s="46">
        <v>607.99115281653371</v>
      </c>
      <c r="AH93" s="46">
        <v>694.83388890512242</v>
      </c>
      <c r="AI93" s="46">
        <v>768.45282574067392</v>
      </c>
      <c r="AJ93" s="46">
        <v>850.37340338356262</v>
      </c>
      <c r="AK93" s="46">
        <v>898.5200298076295</v>
      </c>
      <c r="AL93" s="46">
        <v>964.21593856061736</v>
      </c>
      <c r="AM93" s="46">
        <v>1080.1621740478561</v>
      </c>
      <c r="AN93" s="46">
        <v>1251.6273283795588</v>
      </c>
      <c r="AO93" s="46">
        <v>1266.3820822550222</v>
      </c>
      <c r="AP93" s="702"/>
    </row>
    <row r="94" spans="27:42">
      <c r="AA94" t="s">
        <v>1101</v>
      </c>
      <c r="AB94" s="46">
        <v>0</v>
      </c>
      <c r="AC94" s="46">
        <v>575.6423477127961</v>
      </c>
      <c r="AD94" s="46">
        <v>590.28222319009126</v>
      </c>
      <c r="AE94" s="46">
        <v>614.97995363335906</v>
      </c>
      <c r="AF94" s="46">
        <v>655.41038039386171</v>
      </c>
      <c r="AG94" s="46">
        <v>717.95414894233056</v>
      </c>
      <c r="AH94" s="46">
        <v>804.67264382695532</v>
      </c>
      <c r="AI94" s="46">
        <v>878.18626161132477</v>
      </c>
      <c r="AJ94" s="46">
        <v>959.98964252237113</v>
      </c>
      <c r="AK94" s="46">
        <v>1008.0673880689718</v>
      </c>
      <c r="AL94" s="46">
        <v>1073.6693123992395</v>
      </c>
      <c r="AM94" s="46">
        <v>1189.4496696446174</v>
      </c>
      <c r="AN94" s="46">
        <v>1360.6695232979487</v>
      </c>
      <c r="AO94" s="46">
        <v>1375.403172448086</v>
      </c>
      <c r="AP94" s="702"/>
    </row>
    <row r="95" spans="27:42">
      <c r="AA95" t="s">
        <v>1131</v>
      </c>
      <c r="AB95" s="46">
        <v>0</v>
      </c>
      <c r="AC95" s="46">
        <v>0</v>
      </c>
      <c r="AD95" s="46">
        <v>700.42812931039089</v>
      </c>
      <c r="AE95" s="46">
        <v>725.09047430294595</v>
      </c>
      <c r="AF95" s="46">
        <v>765.46298188889341</v>
      </c>
      <c r="AG95" s="46">
        <v>827.91714506812741</v>
      </c>
      <c r="AH95" s="46">
        <v>914.51139874878822</v>
      </c>
      <c r="AI95" s="46">
        <v>987.91969748197562</v>
      </c>
      <c r="AJ95" s="46">
        <v>1069.6058816611796</v>
      </c>
      <c r="AK95" s="46">
        <v>1117.6147463303141</v>
      </c>
      <c r="AL95" s="46">
        <v>1183.1226862378617</v>
      </c>
      <c r="AM95" s="46">
        <v>1298.7371652413788</v>
      </c>
      <c r="AN95" s="46">
        <v>1469.7117182163386</v>
      </c>
      <c r="AO95" s="46">
        <v>1484.4242626411499</v>
      </c>
      <c r="AP95" s="702"/>
    </row>
    <row r="96" spans="27:42">
      <c r="AB96" s="46"/>
      <c r="AC96" s="46"/>
      <c r="AD96" s="46"/>
      <c r="AE96" s="46"/>
      <c r="AF96" s="46"/>
      <c r="AG96" s="46"/>
      <c r="AH96" s="46"/>
      <c r="AI96" s="46"/>
      <c r="AJ96" s="46"/>
      <c r="AK96" s="46"/>
      <c r="AL96" s="46"/>
      <c r="AM96" s="46"/>
      <c r="AN96" s="46"/>
      <c r="AO96" s="46"/>
      <c r="AP96" s="702"/>
    </row>
    <row r="97" spans="27:42">
      <c r="AB97" s="46"/>
      <c r="AC97" s="46"/>
      <c r="AD97" s="46"/>
      <c r="AE97" s="46"/>
      <c r="AF97" s="46"/>
      <c r="AG97" s="46"/>
      <c r="AH97" s="46"/>
      <c r="AI97" s="46"/>
      <c r="AJ97" s="46"/>
      <c r="AK97" s="46"/>
      <c r="AL97" s="46"/>
      <c r="AM97" s="46"/>
      <c r="AN97" s="46"/>
      <c r="AO97" s="46"/>
    </row>
    <row r="98" spans="27:42" ht="28.5">
      <c r="AA98" s="369" t="s">
        <v>233</v>
      </c>
    </row>
    <row r="99" spans="27:42">
      <c r="AA99" t="s">
        <v>1086</v>
      </c>
      <c r="AB99" s="46">
        <v>0</v>
      </c>
      <c r="AC99" s="46">
        <v>619.98742307917848</v>
      </c>
      <c r="AD99" s="46">
        <v>634.72087145287287</v>
      </c>
      <c r="AE99" s="46">
        <v>659.57646223853715</v>
      </c>
      <c r="AF99" s="46">
        <v>700.26530081837245</v>
      </c>
      <c r="AG99" s="46">
        <v>763.20882595202136</v>
      </c>
      <c r="AH99" s="46">
        <v>850.48159512743848</v>
      </c>
      <c r="AI99" s="46">
        <v>924.46508061366603</v>
      </c>
      <c r="AJ99" s="46">
        <v>1006.7913167226445</v>
      </c>
      <c r="AK99" s="46">
        <v>1055.1763578743301</v>
      </c>
      <c r="AL99" s="46">
        <v>1121.197584698288</v>
      </c>
      <c r="AM99" s="46">
        <v>1237.7179644392595</v>
      </c>
      <c r="AN99" s="46">
        <v>1410.0321916615446</v>
      </c>
      <c r="AO99" s="46">
        <v>1424.8600092749832</v>
      </c>
      <c r="AP99" s="702"/>
    </row>
    <row r="100" spans="27:42">
      <c r="AA100" t="s">
        <v>1088</v>
      </c>
      <c r="AB100" s="46">
        <v>0</v>
      </c>
      <c r="AC100" s="46">
        <v>0</v>
      </c>
      <c r="AD100" s="46">
        <v>724.26272184284574</v>
      </c>
      <c r="AE100" s="46">
        <v>749.22454323520242</v>
      </c>
      <c r="AF100" s="46">
        <v>790.08728156547727</v>
      </c>
      <c r="AG100" s="46">
        <v>853.29981986636415</v>
      </c>
      <c r="AH100" s="46">
        <v>940.94558256620394</v>
      </c>
      <c r="AI100" s="46">
        <v>1015.2452673331455</v>
      </c>
      <c r="AJ100" s="46">
        <v>1097.9233556895183</v>
      </c>
      <c r="AK100" s="46">
        <v>1146.5151922959446</v>
      </c>
      <c r="AL100" s="46">
        <v>1212.8185861900356</v>
      </c>
      <c r="AM100" s="46">
        <v>1329.8369595457875</v>
      </c>
      <c r="AN100" s="46">
        <v>1502.8876403393851</v>
      </c>
      <c r="AO100" s="46">
        <v>1517.7788310032186</v>
      </c>
      <c r="AP100" s="702"/>
    </row>
    <row r="101" spans="27:42">
      <c r="AA101" t="s">
        <v>1090</v>
      </c>
      <c r="AB101" s="46">
        <v>0</v>
      </c>
      <c r="AC101" s="46">
        <v>0</v>
      </c>
      <c r="AD101" s="46">
        <v>790.22274862820746</v>
      </c>
      <c r="AE101" s="46">
        <v>815.02160909454631</v>
      </c>
      <c r="AF101" s="46">
        <v>855.61757690283252</v>
      </c>
      <c r="AG101" s="46">
        <v>918.41743973643224</v>
      </c>
      <c r="AH101" s="46">
        <v>1005.491014386781</v>
      </c>
      <c r="AI101" s="46">
        <v>1079.3056365243926</v>
      </c>
      <c r="AJ101" s="46">
        <v>1161.4439658653375</v>
      </c>
      <c r="AK101" s="46">
        <v>1209.7185748691863</v>
      </c>
      <c r="AL101" s="46">
        <v>1275.5891106668746</v>
      </c>
      <c r="AM101" s="46">
        <v>1391.8435402908251</v>
      </c>
      <c r="AN101" s="46">
        <v>1563.7644697530784</v>
      </c>
      <c r="AO101" s="46">
        <v>1578.5584440282821</v>
      </c>
      <c r="AP101" s="702"/>
    </row>
    <row r="102" spans="27:42">
      <c r="AA102" t="s">
        <v>1129</v>
      </c>
      <c r="AB102" s="46">
        <v>0</v>
      </c>
      <c r="AC102" s="46">
        <v>0</v>
      </c>
      <c r="AD102" s="46">
        <v>0</v>
      </c>
      <c r="AE102" s="46">
        <v>882.30398436067014</v>
      </c>
      <c r="AF102" s="46">
        <v>922.88520631958374</v>
      </c>
      <c r="AG102" s="46">
        <v>985.66225812352377</v>
      </c>
      <c r="AH102" s="46">
        <v>1072.7042045182318</v>
      </c>
      <c r="AI102" s="46">
        <v>1146.4920171516808</v>
      </c>
      <c r="AJ102" s="46">
        <v>1228.6005115748765</v>
      </c>
      <c r="AK102" s="46">
        <v>1276.8575822606024</v>
      </c>
      <c r="AL102" s="46">
        <v>1342.7041954320068</v>
      </c>
      <c r="AM102" s="46">
        <v>1458.9163959492353</v>
      </c>
      <c r="AN102" s="46">
        <v>1630.7748817821494</v>
      </c>
      <c r="AO102" s="46">
        <v>1645.5634806494434</v>
      </c>
      <c r="AP102" s="702"/>
    </row>
    <row r="103" spans="27:42">
      <c r="AP103" s="702"/>
    </row>
    <row r="104" spans="27:42">
      <c r="AA104" t="s">
        <v>1097</v>
      </c>
      <c r="AB104" s="46">
        <v>332.42480170087873</v>
      </c>
      <c r="AC104" s="46">
        <v>347.82848393674431</v>
      </c>
      <c r="AD104" s="46">
        <v>362.5873459864012</v>
      </c>
      <c r="AE104" s="46">
        <v>387.48581071752409</v>
      </c>
      <c r="AF104" s="46">
        <v>428.2448335083003</v>
      </c>
      <c r="AG104" s="46">
        <v>491.29693198611886</v>
      </c>
      <c r="AH104" s="46">
        <v>578.7202388362532</v>
      </c>
      <c r="AI104" s="46">
        <v>652.83134041552182</v>
      </c>
      <c r="AJ104" s="46">
        <v>735.29958199203486</v>
      </c>
      <c r="AK104" s="46">
        <v>783.76808370271874</v>
      </c>
      <c r="AL104" s="46">
        <v>849.90319095973121</v>
      </c>
      <c r="AM104" s="46">
        <v>966.6245596001944</v>
      </c>
      <c r="AN104" s="46">
        <v>1139.2360135855481</v>
      </c>
      <c r="AO104" s="46">
        <v>1154.0894087342265</v>
      </c>
      <c r="AP104" s="702"/>
    </row>
    <row r="105" spans="27:42">
      <c r="AA105" t="s">
        <v>1099</v>
      </c>
      <c r="AB105" s="46">
        <v>0</v>
      </c>
      <c r="AC105" s="46">
        <v>444.91578874767737</v>
      </c>
      <c r="AD105" s="46">
        <v>459.57663811523793</v>
      </c>
      <c r="AE105" s="46">
        <v>484.30975562447901</v>
      </c>
      <c r="AF105" s="46">
        <v>524.79810287193607</v>
      </c>
      <c r="AG105" s="46">
        <v>587.43147763765148</v>
      </c>
      <c r="AH105" s="46">
        <v>674.27421227250579</v>
      </c>
      <c r="AI105" s="46">
        <v>747.89314854271606</v>
      </c>
      <c r="AJ105" s="46">
        <v>829.81372570102656</v>
      </c>
      <c r="AK105" s="46">
        <v>877.96035252890852</v>
      </c>
      <c r="AL105" s="46">
        <v>943.65626241257905</v>
      </c>
      <c r="AM105" s="46">
        <v>1059.6024927309838</v>
      </c>
      <c r="AN105" s="46">
        <v>1231.0676490009992</v>
      </c>
      <c r="AO105" s="46">
        <v>1245.8224064300355</v>
      </c>
      <c r="AP105" s="702"/>
    </row>
    <row r="106" spans="27:42">
      <c r="AA106" t="s">
        <v>1101</v>
      </c>
      <c r="AB106" s="46">
        <v>0</v>
      </c>
      <c r="AC106" s="46">
        <v>555.11208385207135</v>
      </c>
      <c r="AD106" s="46">
        <v>569.7519592071086</v>
      </c>
      <c r="AE106" s="46">
        <v>594.44969082405453</v>
      </c>
      <c r="AF106" s="46">
        <v>634.88011347668316</v>
      </c>
      <c r="AG106" s="46">
        <v>697.4238813894093</v>
      </c>
      <c r="AH106" s="46">
        <v>784.14238018629544</v>
      </c>
      <c r="AI106" s="46">
        <v>857.65599454743608</v>
      </c>
      <c r="AJ106" s="46">
        <v>939.45937751241945</v>
      </c>
      <c r="AK106" s="46">
        <v>987.53712462392468</v>
      </c>
      <c r="AL106" s="46">
        <v>1053.1390470958684</v>
      </c>
      <c r="AM106" s="46">
        <v>1168.9194056127315</v>
      </c>
      <c r="AN106" s="46">
        <v>1340.1392594616755</v>
      </c>
      <c r="AO106" s="46">
        <v>1354.8729090030392</v>
      </c>
      <c r="AP106" s="702"/>
    </row>
    <row r="107" spans="27:42">
      <c r="AA107" t="s">
        <v>1131</v>
      </c>
      <c r="AB107" s="46">
        <v>0</v>
      </c>
      <c r="AC107" s="46">
        <v>0</v>
      </c>
      <c r="AD107" s="46">
        <v>679.92728029897921</v>
      </c>
      <c r="AE107" s="46">
        <v>704.58962602362999</v>
      </c>
      <c r="AF107" s="46">
        <v>744.96212408143026</v>
      </c>
      <c r="AG107" s="46">
        <v>807.41628514116712</v>
      </c>
      <c r="AH107" s="46">
        <v>894.01054810008509</v>
      </c>
      <c r="AI107" s="46">
        <v>967.4188405521561</v>
      </c>
      <c r="AJ107" s="46">
        <v>1049.1050293238122</v>
      </c>
      <c r="AK107" s="46">
        <v>1097.1138967189409</v>
      </c>
      <c r="AL107" s="46">
        <v>1162.6218317791577</v>
      </c>
      <c r="AM107" s="46">
        <v>1278.2363184944791</v>
      </c>
      <c r="AN107" s="46">
        <v>1449.2108699223518</v>
      </c>
      <c r="AO107" s="46">
        <v>1463.923411576043</v>
      </c>
      <c r="AP107" s="702"/>
    </row>
    <row r="108" spans="27:42">
      <c r="AP108" s="702"/>
    </row>
    <row r="109" spans="27:42">
      <c r="AP109" s="702"/>
    </row>
    <row r="110" spans="27:42" ht="28.5">
      <c r="AA110" s="369" t="s">
        <v>240</v>
      </c>
      <c r="AP110" s="702"/>
    </row>
    <row r="111" spans="27:42">
      <c r="AA111" t="s">
        <v>1086</v>
      </c>
      <c r="AB111" s="46">
        <v>0</v>
      </c>
      <c r="AC111" s="46">
        <v>577.49719750158374</v>
      </c>
      <c r="AD111" s="46">
        <v>592.23064560724458</v>
      </c>
      <c r="AE111" s="46">
        <v>617.08623618220054</v>
      </c>
      <c r="AF111" s="46">
        <v>657.77507481006489</v>
      </c>
      <c r="AG111" s="46">
        <v>720.71860092443728</v>
      </c>
      <c r="AH111" s="46">
        <v>807.99136949561716</v>
      </c>
      <c r="AI111" s="46">
        <v>881.9748558091851</v>
      </c>
      <c r="AJ111" s="46">
        <v>964.30109023869375</v>
      </c>
      <c r="AK111" s="46">
        <v>1012.6861317808097</v>
      </c>
      <c r="AL111" s="46">
        <v>1078.7073594352069</v>
      </c>
      <c r="AM111" s="46">
        <v>1195.2277393559</v>
      </c>
      <c r="AN111" s="46">
        <v>1367.5419637646085</v>
      </c>
      <c r="AO111" s="46">
        <v>1382.36978254314</v>
      </c>
      <c r="AP111" s="702"/>
    </row>
    <row r="112" spans="27:42">
      <c r="AA112" t="s">
        <v>1088</v>
      </c>
      <c r="AB112" s="46">
        <v>0</v>
      </c>
      <c r="AC112" s="46">
        <v>0</v>
      </c>
      <c r="AD112" s="46">
        <v>681.59089597046318</v>
      </c>
      <c r="AE112" s="46">
        <v>706.55271655610841</v>
      </c>
      <c r="AF112" s="46">
        <v>747.41545580513798</v>
      </c>
      <c r="AG112" s="46">
        <v>810.62799664567228</v>
      </c>
      <c r="AH112" s="46">
        <v>898.27375994307613</v>
      </c>
      <c r="AI112" s="46">
        <v>972.57344388836702</v>
      </c>
      <c r="AJ112" s="46">
        <v>1055.2515332307207</v>
      </c>
      <c r="AK112" s="46">
        <v>1103.8433647279742</v>
      </c>
      <c r="AL112" s="46">
        <v>1170.1467602952446</v>
      </c>
      <c r="AM112" s="46">
        <v>1287.1651376247976</v>
      </c>
      <c r="AN112" s="46">
        <v>1460.215815311062</v>
      </c>
      <c r="AO112" s="46">
        <v>1475.1070061541645</v>
      </c>
      <c r="AP112" s="702"/>
    </row>
    <row r="113" spans="27:42">
      <c r="AA113" t="s">
        <v>1090</v>
      </c>
      <c r="AB113" s="46">
        <v>0</v>
      </c>
      <c r="AC113" s="46">
        <v>0</v>
      </c>
      <c r="AD113" s="46">
        <v>747.82950359724816</v>
      </c>
      <c r="AE113" s="46">
        <v>772.62836277247379</v>
      </c>
      <c r="AF113" s="46">
        <v>813.22433263578171</v>
      </c>
      <c r="AG113" s="46">
        <v>876.02419381245295</v>
      </c>
      <c r="AH113" s="46">
        <v>963.09776775268949</v>
      </c>
      <c r="AI113" s="46">
        <v>1036.9123915364703</v>
      </c>
      <c r="AJ113" s="46">
        <v>1119.0507226849734</v>
      </c>
      <c r="AK113" s="46">
        <v>1167.3253264167774</v>
      </c>
      <c r="AL113" s="46">
        <v>1233.1958665396942</v>
      </c>
      <c r="AM113" s="46">
        <v>1349.4502974547577</v>
      </c>
      <c r="AN113" s="46">
        <v>1521.3712280359762</v>
      </c>
      <c r="AO113" s="46">
        <v>1536.1652010200664</v>
      </c>
      <c r="AP113" s="702"/>
    </row>
    <row r="114" spans="27:42">
      <c r="AA114" t="s">
        <v>1129</v>
      </c>
      <c r="AB114" s="46">
        <v>0</v>
      </c>
      <c r="AC114" s="46">
        <v>0</v>
      </c>
      <c r="AD114" s="46">
        <v>0</v>
      </c>
      <c r="AE114" s="46">
        <v>839.92614042543676</v>
      </c>
      <c r="AF114" s="46">
        <v>880.50736176718408</v>
      </c>
      <c r="AG114" s="46">
        <v>943.28441339479104</v>
      </c>
      <c r="AH114" s="46">
        <v>1030.326360671165</v>
      </c>
      <c r="AI114" s="46">
        <v>1104.114170600838</v>
      </c>
      <c r="AJ114" s="46">
        <v>1186.2226642011453</v>
      </c>
      <c r="AK114" s="46">
        <v>1234.4797361212038</v>
      </c>
      <c r="AL114" s="46">
        <v>1300.3263502330522</v>
      </c>
      <c r="AM114" s="46">
        <v>1416.5385507502806</v>
      </c>
      <c r="AN114" s="46">
        <v>1588.3970316458644</v>
      </c>
      <c r="AO114" s="46">
        <v>1603.1856354504887</v>
      </c>
      <c r="AP114" s="702"/>
    </row>
    <row r="115" spans="27:42">
      <c r="AP115" s="702"/>
    </row>
    <row r="116" spans="27:42">
      <c r="AA116" t="s">
        <v>1097</v>
      </c>
      <c r="AB116" s="46">
        <v>289.86128340964228</v>
      </c>
      <c r="AC116" s="46">
        <v>305.26496576282682</v>
      </c>
      <c r="AD116" s="46">
        <v>320.02382784668129</v>
      </c>
      <c r="AE116" s="46">
        <v>344.92229219746861</v>
      </c>
      <c r="AF116" s="46">
        <v>385.68131545552637</v>
      </c>
      <c r="AG116" s="46">
        <v>448.73341368664086</v>
      </c>
      <c r="AH116" s="46">
        <v>536.15672066526702</v>
      </c>
      <c r="AI116" s="46">
        <v>610.26782211775696</v>
      </c>
      <c r="AJ116" s="46">
        <v>692.73606340302206</v>
      </c>
      <c r="AK116" s="46">
        <v>741.20456538782162</v>
      </c>
      <c r="AL116" s="46">
        <v>807.33967314509516</v>
      </c>
      <c r="AM116" s="46">
        <v>924.0610404218329</v>
      </c>
      <c r="AN116" s="46">
        <v>1096.6724951061817</v>
      </c>
      <c r="AO116" s="46">
        <v>1111.525890131508</v>
      </c>
      <c r="AP116" s="702"/>
    </row>
    <row r="117" spans="27:42">
      <c r="AA117" t="s">
        <v>1099</v>
      </c>
      <c r="AB117" s="46">
        <v>0</v>
      </c>
      <c r="AC117" s="46">
        <v>402.63493097862437</v>
      </c>
      <c r="AD117" s="46">
        <v>417.29578087114476</v>
      </c>
      <c r="AE117" s="46">
        <v>442.02889644207312</v>
      </c>
      <c r="AF117" s="46">
        <v>482.51724506250179</v>
      </c>
      <c r="AG117" s="46">
        <v>545.15061934363894</v>
      </c>
      <c r="AH117" s="46">
        <v>631.99335591680585</v>
      </c>
      <c r="AI117" s="46">
        <v>705.6122910563339</v>
      </c>
      <c r="AJ117" s="46">
        <v>787.53286736663233</v>
      </c>
      <c r="AK117" s="46">
        <v>835.67949419451429</v>
      </c>
      <c r="AL117" s="46">
        <v>901.3754053703932</v>
      </c>
      <c r="AM117" s="46">
        <v>1017.3216393231346</v>
      </c>
      <c r="AN117" s="46">
        <v>1188.7867928472067</v>
      </c>
      <c r="AO117" s="46">
        <v>1203.5415472072482</v>
      </c>
      <c r="AP117" s="702"/>
    </row>
    <row r="118" spans="27:42">
      <c r="AA118" t="s">
        <v>1101</v>
      </c>
      <c r="AB118" s="46">
        <v>0</v>
      </c>
      <c r="AC118" s="46">
        <v>512.89171348861987</v>
      </c>
      <c r="AD118" s="46">
        <v>527.53158877030216</v>
      </c>
      <c r="AE118" s="46">
        <v>552.22932280795987</v>
      </c>
      <c r="AF118" s="46">
        <v>592.65974394458715</v>
      </c>
      <c r="AG118" s="46">
        <v>655.20351435137979</v>
      </c>
      <c r="AH118" s="46">
        <v>741.92201148555478</v>
      </c>
      <c r="AI118" s="46">
        <v>815.43562706927719</v>
      </c>
      <c r="AJ118" s="46">
        <v>897.23900944742149</v>
      </c>
      <c r="AK118" s="46">
        <v>945.31675430937651</v>
      </c>
      <c r="AL118" s="46">
        <v>1010.9186783462245</v>
      </c>
      <c r="AM118" s="46">
        <v>1126.6990315815349</v>
      </c>
      <c r="AN118" s="46">
        <v>1297.9188891471274</v>
      </c>
      <c r="AO118" s="46">
        <v>1312.6525359499078</v>
      </c>
      <c r="AP118" s="702"/>
    </row>
    <row r="119" spans="27:42">
      <c r="AA119" t="s">
        <v>1131</v>
      </c>
      <c r="AB119" s="46">
        <v>0</v>
      </c>
      <c r="AC119" s="46">
        <v>0</v>
      </c>
      <c r="AD119" s="46">
        <v>637.76739666945957</v>
      </c>
      <c r="AE119" s="46">
        <v>662.42974917384663</v>
      </c>
      <c r="AF119" s="46">
        <v>702.80224282667245</v>
      </c>
      <c r="AG119" s="46">
        <v>765.25640935912065</v>
      </c>
      <c r="AH119" s="46">
        <v>851.8506670543037</v>
      </c>
      <c r="AI119" s="46">
        <v>925.25896308222048</v>
      </c>
      <c r="AJ119" s="46">
        <v>1006.9451515282107</v>
      </c>
      <c r="AK119" s="46">
        <v>1054.9540144242387</v>
      </c>
      <c r="AL119" s="46">
        <v>1120.4619513220559</v>
      </c>
      <c r="AM119" s="46">
        <v>1236.0764238399352</v>
      </c>
      <c r="AN119" s="46">
        <v>1407.0509854470481</v>
      </c>
      <c r="AO119" s="46">
        <v>1421.7635246925674</v>
      </c>
    </row>
    <row r="122" spans="27:42" ht="28.5">
      <c r="AA122" s="369" t="s">
        <v>234</v>
      </c>
    </row>
    <row r="123" spans="27:42">
      <c r="AA123" t="s">
        <v>1086</v>
      </c>
      <c r="AB123" s="46">
        <v>0</v>
      </c>
      <c r="AC123" s="46">
        <v>557.70440269166556</v>
      </c>
      <c r="AD123" s="46">
        <v>572.43785090500467</v>
      </c>
      <c r="AE123" s="46">
        <v>597.29344143348078</v>
      </c>
      <c r="AF123" s="46">
        <v>637.98227996683636</v>
      </c>
      <c r="AG123" s="46">
        <v>700.92580550795799</v>
      </c>
      <c r="AH123" s="46">
        <v>788.19857471746025</v>
      </c>
      <c r="AI123" s="46">
        <v>862.18205996509164</v>
      </c>
      <c r="AJ123" s="46">
        <v>944.50829601829446</v>
      </c>
      <c r="AK123" s="46">
        <v>992.8933359243216</v>
      </c>
      <c r="AL123" s="46">
        <v>1058.9145643719737</v>
      </c>
      <c r="AM123" s="46">
        <v>1175.4349440075907</v>
      </c>
      <c r="AN123" s="46">
        <v>1347.749169730128</v>
      </c>
      <c r="AO123" s="46">
        <v>1362.5769887565523</v>
      </c>
    </row>
    <row r="124" spans="27:42">
      <c r="AA124" t="s">
        <v>1088</v>
      </c>
      <c r="AB124" s="46">
        <v>0</v>
      </c>
      <c r="AC124" s="46">
        <v>0</v>
      </c>
      <c r="AD124" s="46">
        <v>661.7135096882464</v>
      </c>
      <c r="AE124" s="46">
        <v>686.67533072206481</v>
      </c>
      <c r="AF124" s="46">
        <v>727.53806919426097</v>
      </c>
      <c r="AG124" s="46">
        <v>790.75060851100693</v>
      </c>
      <c r="AH124" s="46">
        <v>878.39637164408055</v>
      </c>
      <c r="AI124" s="46">
        <v>952.69605502168565</v>
      </c>
      <c r="AJ124" s="46">
        <v>1035.3741452603856</v>
      </c>
      <c r="AK124" s="46">
        <v>1083.9659792375298</v>
      </c>
      <c r="AL124" s="46">
        <v>1150.2693721755181</v>
      </c>
      <c r="AM124" s="46">
        <v>1267.2877498337318</v>
      </c>
      <c r="AN124" s="46">
        <v>1440.3384287450024</v>
      </c>
      <c r="AO124" s="46">
        <v>1455.2296204246945</v>
      </c>
    </row>
    <row r="125" spans="27:42">
      <c r="AA125" t="s">
        <v>1090</v>
      </c>
      <c r="AB125" s="46">
        <v>0</v>
      </c>
      <c r="AC125" s="46">
        <v>0</v>
      </c>
      <c r="AD125" s="46">
        <v>728.08188533894509</v>
      </c>
      <c r="AE125" s="46">
        <v>752.88074463790224</v>
      </c>
      <c r="AF125" s="46">
        <v>793.47671379647772</v>
      </c>
      <c r="AG125" s="46">
        <v>856.27657387570275</v>
      </c>
      <c r="AH125" s="46">
        <v>943.35014800960619</v>
      </c>
      <c r="AI125" s="46">
        <v>1017.1647718902205</v>
      </c>
      <c r="AJ125" s="46">
        <v>1099.303103318465</v>
      </c>
      <c r="AK125" s="46">
        <v>1147.5777080401222</v>
      </c>
      <c r="AL125" s="46">
        <v>1213.4482464630735</v>
      </c>
      <c r="AM125" s="46">
        <v>1329.7026770123214</v>
      </c>
      <c r="AN125" s="46">
        <v>1501.6236063024267</v>
      </c>
      <c r="AO125" s="46">
        <v>1516.4175822560774</v>
      </c>
    </row>
    <row r="126" spans="27:42">
      <c r="AA126" t="s">
        <v>1129</v>
      </c>
      <c r="AB126" s="46">
        <v>0</v>
      </c>
      <c r="AC126" s="46">
        <v>0</v>
      </c>
      <c r="AD126" s="46">
        <v>0</v>
      </c>
      <c r="AE126" s="46">
        <v>820.18569238847795</v>
      </c>
      <c r="AF126" s="46">
        <v>860.76691434739155</v>
      </c>
      <c r="AG126" s="46">
        <v>923.54396659216468</v>
      </c>
      <c r="AH126" s="46">
        <v>1010.5859121639842</v>
      </c>
      <c r="AI126" s="46">
        <v>1084.3737250031554</v>
      </c>
      <c r="AJ126" s="46">
        <v>1166.4822194851286</v>
      </c>
      <c r="AK126" s="46">
        <v>1214.7392902296324</v>
      </c>
      <c r="AL126" s="46">
        <v>1280.5859026369262</v>
      </c>
      <c r="AM126" s="46">
        <v>1396.798106504486</v>
      </c>
      <c r="AN126" s="46">
        <v>1568.6565879878472</v>
      </c>
      <c r="AO126" s="46">
        <v>1583.4451912046941</v>
      </c>
    </row>
    <row r="128" spans="27:42">
      <c r="AA128" t="s">
        <v>1097</v>
      </c>
      <c r="AB128" s="46">
        <v>270.03434798261895</v>
      </c>
      <c r="AC128" s="46">
        <v>285.43802976890942</v>
      </c>
      <c r="AD128" s="46">
        <v>300.19689189590986</v>
      </c>
      <c r="AE128" s="46">
        <v>325.09535646992475</v>
      </c>
      <c r="AF128" s="46">
        <v>365.85438019633494</v>
      </c>
      <c r="AG128" s="46">
        <v>428.90647777385476</v>
      </c>
      <c r="AH128" s="46">
        <v>516.32978512938996</v>
      </c>
      <c r="AI128" s="46">
        <v>590.44088682344443</v>
      </c>
      <c r="AJ128" s="46">
        <v>672.90912739943519</v>
      </c>
      <c r="AK128" s="46">
        <v>721.37762869209269</v>
      </c>
      <c r="AL128" s="46">
        <v>787.51273816258936</v>
      </c>
      <c r="AM128" s="46">
        <v>904.23410520632854</v>
      </c>
      <c r="AN128" s="46">
        <v>1076.8455590340659</v>
      </c>
      <c r="AO128" s="46">
        <v>1091.6989537236002</v>
      </c>
    </row>
    <row r="129" spans="27:41">
      <c r="AA129" t="s">
        <v>1099</v>
      </c>
      <c r="AB129" s="46">
        <v>0</v>
      </c>
      <c r="AC129" s="46">
        <v>382.93966589483739</v>
      </c>
      <c r="AD129" s="46">
        <v>397.60051554506862</v>
      </c>
      <c r="AE129" s="46">
        <v>422.33363091408944</v>
      </c>
      <c r="AF129" s="46">
        <v>462.82197576894174</v>
      </c>
      <c r="AG129" s="46">
        <v>525.45535140285972</v>
      </c>
      <c r="AH129" s="46">
        <v>612.29808846060484</v>
      </c>
      <c r="AI129" s="46">
        <v>685.91702267135804</v>
      </c>
      <c r="AJ129" s="46">
        <v>767.83760108149534</v>
      </c>
      <c r="AK129" s="46">
        <v>815.98422847471852</v>
      </c>
      <c r="AL129" s="46">
        <v>881.68014013517563</v>
      </c>
      <c r="AM129" s="46">
        <v>997.62637126121069</v>
      </c>
      <c r="AN129" s="46">
        <v>1169.0915256736764</v>
      </c>
      <c r="AO129" s="46">
        <v>1183.8462811644001</v>
      </c>
    </row>
    <row r="130" spans="27:41">
      <c r="AA130" t="s">
        <v>1101</v>
      </c>
      <c r="AB130" s="46">
        <v>0</v>
      </c>
      <c r="AC130" s="46">
        <v>493.22462166579726</v>
      </c>
      <c r="AD130" s="46">
        <v>507.86449741206053</v>
      </c>
      <c r="AE130" s="46">
        <v>532.56223044720127</v>
      </c>
      <c r="AF130" s="46">
        <v>572.99265486034744</v>
      </c>
      <c r="AG130" s="46">
        <v>635.53642365333235</v>
      </c>
      <c r="AH130" s="46">
        <v>722.25491966273228</v>
      </c>
      <c r="AI130" s="46">
        <v>795.76853666464933</v>
      </c>
      <c r="AJ130" s="46">
        <v>877.57191777130868</v>
      </c>
      <c r="AK130" s="46">
        <v>925.64966155739194</v>
      </c>
      <c r="AL130" s="46">
        <v>991.25158539862684</v>
      </c>
      <c r="AM130" s="46">
        <v>1107.0319470452987</v>
      </c>
      <c r="AN130" s="46">
        <v>1278.2517980578536</v>
      </c>
      <c r="AO130" s="46">
        <v>1292.9854442737951</v>
      </c>
    </row>
    <row r="131" spans="27:41">
      <c r="AA131" t="s">
        <v>1131</v>
      </c>
      <c r="AC131" s="46">
        <v>0</v>
      </c>
      <c r="AD131" s="46">
        <v>618.1284792790525</v>
      </c>
      <c r="AE131" s="46">
        <v>642.79082998031311</v>
      </c>
      <c r="AF131" s="46">
        <v>683.1633339517532</v>
      </c>
      <c r="AG131" s="46">
        <v>745.61749590380498</v>
      </c>
      <c r="AH131" s="46">
        <v>832.21175086485971</v>
      </c>
      <c r="AI131" s="46">
        <v>905.62005065794062</v>
      </c>
      <c r="AJ131" s="46">
        <v>987.30623446112202</v>
      </c>
      <c r="AK131" s="46">
        <v>1035.3150946400654</v>
      </c>
      <c r="AL131" s="46">
        <v>1100.8230306620781</v>
      </c>
      <c r="AM131" s="46">
        <v>1216.4375228293866</v>
      </c>
      <c r="AN131" s="46">
        <v>1387.4120704420309</v>
      </c>
      <c r="AO131" s="46">
        <v>1402.1246073831901</v>
      </c>
    </row>
    <row r="134" spans="27:41" ht="28.5">
      <c r="AA134" s="369" t="s">
        <v>242</v>
      </c>
    </row>
    <row r="135" spans="27:41">
      <c r="AA135" t="s">
        <v>1086</v>
      </c>
      <c r="AB135" s="46">
        <v>0</v>
      </c>
      <c r="AC135" s="46">
        <v>609.70019552407302</v>
      </c>
      <c r="AD135" s="46">
        <v>624.4336435553663</v>
      </c>
      <c r="AE135" s="46">
        <v>649.28923403116551</v>
      </c>
      <c r="AF135" s="46">
        <v>689.9780728077651</v>
      </c>
      <c r="AG135" s="46">
        <v>752.92159871607714</v>
      </c>
      <c r="AH135" s="46">
        <v>840.19436773036443</v>
      </c>
      <c r="AI135" s="46">
        <v>914.17785327856484</v>
      </c>
      <c r="AJ135" s="46">
        <v>996.50408847653955</v>
      </c>
      <c r="AK135" s="46">
        <v>1044.8891281718584</v>
      </c>
      <c r="AL135" s="46">
        <v>1110.9103570595191</v>
      </c>
      <c r="AM135" s="46">
        <v>1227.4307372838803</v>
      </c>
      <c r="AN135" s="46">
        <v>1399.7449623371085</v>
      </c>
      <c r="AO135" s="46">
        <v>1414.57278127677</v>
      </c>
    </row>
    <row r="136" spans="27:41">
      <c r="AA136" t="s">
        <v>1088</v>
      </c>
      <c r="AB136" s="46">
        <v>0</v>
      </c>
      <c r="AC136" s="46">
        <v>0</v>
      </c>
      <c r="AD136" s="46">
        <v>713.93152528677638</v>
      </c>
      <c r="AE136" s="46">
        <v>738.89334662684621</v>
      </c>
      <c r="AF136" s="46">
        <v>779.75608645103125</v>
      </c>
      <c r="AG136" s="46">
        <v>842.96862630558451</v>
      </c>
      <c r="AH136" s="46">
        <v>930.61439009597905</v>
      </c>
      <c r="AI136" s="46">
        <v>1004.9140728013243</v>
      </c>
      <c r="AJ136" s="46">
        <v>1087.5921623528257</v>
      </c>
      <c r="AK136" s="46">
        <v>1136.1839954336237</v>
      </c>
      <c r="AL136" s="46">
        <v>1202.487390433208</v>
      </c>
      <c r="AM136" s="46">
        <v>1319.5057667767808</v>
      </c>
      <c r="AN136" s="46">
        <v>1492.5564456581731</v>
      </c>
      <c r="AO136" s="46">
        <v>1507.4476379951857</v>
      </c>
    </row>
    <row r="137" spans="27:41">
      <c r="AA137" t="s">
        <v>1090</v>
      </c>
      <c r="AB137" s="46">
        <v>0</v>
      </c>
      <c r="AC137" s="46">
        <v>0</v>
      </c>
      <c r="AD137" s="46">
        <v>779.9590009204926</v>
      </c>
      <c r="AE137" s="46">
        <v>804.75786088652512</v>
      </c>
      <c r="AF137" s="46">
        <v>845.3538286625336</v>
      </c>
      <c r="AG137" s="46">
        <v>908.15369037716857</v>
      </c>
      <c r="AH137" s="46">
        <v>995.22726538257325</v>
      </c>
      <c r="AI137" s="46">
        <v>1069.0418869284251</v>
      </c>
      <c r="AJ137" s="46">
        <v>1151.1802189807072</v>
      </c>
      <c r="AK137" s="46">
        <v>1199.454825639034</v>
      </c>
      <c r="AL137" s="46">
        <v>1265.3253618670931</v>
      </c>
      <c r="AM137" s="46">
        <v>1381.5797928897491</v>
      </c>
      <c r="AN137" s="46">
        <v>1553.5007228254112</v>
      </c>
      <c r="AO137" s="46">
        <v>1568.2946985208391</v>
      </c>
    </row>
    <row r="138" spans="27:41">
      <c r="AA138" t="s">
        <v>1129</v>
      </c>
      <c r="AB138" s="46">
        <v>0</v>
      </c>
      <c r="AC138" s="46">
        <v>0</v>
      </c>
      <c r="AD138" s="46">
        <v>0</v>
      </c>
      <c r="AE138" s="46">
        <v>872.04396394611854</v>
      </c>
      <c r="AF138" s="46">
        <v>912.62518763897549</v>
      </c>
      <c r="AG138" s="46">
        <v>975.40223867880491</v>
      </c>
      <c r="AH138" s="46">
        <v>1062.4441873364558</v>
      </c>
      <c r="AI138" s="46">
        <v>1136.2319966195737</v>
      </c>
      <c r="AJ138" s="46">
        <v>1218.3404939228787</v>
      </c>
      <c r="AK138" s="46">
        <v>1266.5975627277169</v>
      </c>
      <c r="AL138" s="46">
        <v>1332.4441750174551</v>
      </c>
      <c r="AM138" s="46">
        <v>1448.6563758285724</v>
      </c>
      <c r="AN138" s="46">
        <v>1620.5148603683758</v>
      </c>
      <c r="AO138" s="46">
        <v>1635.3034621745571</v>
      </c>
    </row>
    <row r="140" spans="27:41">
      <c r="AA140" t="s">
        <v>1097</v>
      </c>
      <c r="AB140" s="46">
        <v>322.11982905669964</v>
      </c>
      <c r="AC140" s="46">
        <v>337.52351104861827</v>
      </c>
      <c r="AD140" s="46">
        <v>352.28237314035619</v>
      </c>
      <c r="AE140" s="46">
        <v>377.18083748814547</v>
      </c>
      <c r="AF140" s="46">
        <v>417.93986107128728</v>
      </c>
      <c r="AG140" s="46">
        <v>480.99195883297864</v>
      </c>
      <c r="AH140" s="46">
        <v>568.41526586471468</v>
      </c>
      <c r="AI140" s="46">
        <v>642.5263676667023</v>
      </c>
      <c r="AJ140" s="46">
        <v>724.99460854422011</v>
      </c>
      <c r="AK140" s="46">
        <v>773.4631102823156</v>
      </c>
      <c r="AL140" s="46">
        <v>839.59821938275616</v>
      </c>
      <c r="AM140" s="46">
        <v>956.31958691990371</v>
      </c>
      <c r="AN140" s="46">
        <v>1128.9310411862261</v>
      </c>
      <c r="AO140" s="46">
        <v>1143.7844348546796</v>
      </c>
    </row>
    <row r="141" spans="27:41">
      <c r="AA141" t="s">
        <v>1099</v>
      </c>
      <c r="AB141" s="46">
        <v>0</v>
      </c>
      <c r="AC141" s="46">
        <v>434.67925137862574</v>
      </c>
      <c r="AD141" s="46">
        <v>449.34010124085989</v>
      </c>
      <c r="AE141" s="46">
        <v>474.07321759922786</v>
      </c>
      <c r="AF141" s="46">
        <v>514.56156155559142</v>
      </c>
      <c r="AG141" s="46">
        <v>577.19493848171794</v>
      </c>
      <c r="AH141" s="46">
        <v>664.03767428763626</v>
      </c>
      <c r="AI141" s="46">
        <v>737.65660979059771</v>
      </c>
      <c r="AJ141" s="46">
        <v>819.57718686814508</v>
      </c>
      <c r="AK141" s="46">
        <v>867.72381143466203</v>
      </c>
      <c r="AL141" s="46">
        <v>933.4197233374083</v>
      </c>
      <c r="AM141" s="46">
        <v>1049.3659557556518</v>
      </c>
      <c r="AN141" s="46">
        <v>1220.8311103296437</v>
      </c>
      <c r="AO141" s="46">
        <v>1235.5858669510499</v>
      </c>
    </row>
    <row r="142" spans="27:41">
      <c r="AA142" t="s">
        <v>1101</v>
      </c>
      <c r="AB142" s="46">
        <v>0</v>
      </c>
      <c r="AC142" s="46">
        <v>544.89018929087013</v>
      </c>
      <c r="AD142" s="46">
        <v>559.53006523274632</v>
      </c>
      <c r="AE142" s="46">
        <v>584.22779555375598</v>
      </c>
      <c r="AF142" s="46">
        <v>624.65822084716081</v>
      </c>
      <c r="AG142" s="46">
        <v>687.20198949343603</v>
      </c>
      <c r="AH142" s="46">
        <v>773.92048692103049</v>
      </c>
      <c r="AI142" s="46">
        <v>847.43410093984858</v>
      </c>
      <c r="AJ142" s="46">
        <v>929.23748361141224</v>
      </c>
      <c r="AK142" s="46">
        <v>977.31522964704561</v>
      </c>
      <c r="AL142" s="46">
        <v>1042.9171543685395</v>
      </c>
      <c r="AM142" s="46">
        <v>1158.6975163086311</v>
      </c>
      <c r="AN142" s="46">
        <v>1329.9173658540878</v>
      </c>
      <c r="AO142" s="46">
        <v>1344.6510116788031</v>
      </c>
    </row>
    <row r="143" spans="27:41">
      <c r="AA143" t="s">
        <v>1131</v>
      </c>
      <c r="AB143" s="46">
        <v>0</v>
      </c>
      <c r="AC143" s="46">
        <v>0</v>
      </c>
      <c r="AD143" s="46">
        <v>669.72002922463275</v>
      </c>
      <c r="AE143" s="46">
        <v>694.3823735082841</v>
      </c>
      <c r="AF143" s="46">
        <v>734.75488013873019</v>
      </c>
      <c r="AG143" s="46">
        <v>797.20904050515412</v>
      </c>
      <c r="AH143" s="46">
        <v>883.80329955442471</v>
      </c>
      <c r="AI143" s="46">
        <v>957.21159208909944</v>
      </c>
      <c r="AJ143" s="46">
        <v>1038.8977803546795</v>
      </c>
      <c r="AK143" s="46">
        <v>1086.9066478594291</v>
      </c>
      <c r="AL143" s="46">
        <v>1152.4145853996706</v>
      </c>
      <c r="AM143" s="46">
        <v>1268.0290768616103</v>
      </c>
      <c r="AN143" s="46">
        <v>1439.003621378532</v>
      </c>
      <c r="AO143" s="46">
        <v>1453.7161564065564</v>
      </c>
    </row>
    <row r="144" spans="27:41">
      <c r="AB144" s="46"/>
      <c r="AC144" s="46"/>
      <c r="AD144" s="46"/>
      <c r="AE144" s="46"/>
      <c r="AF144" s="46"/>
      <c r="AG144" s="46"/>
      <c r="AH144" s="46"/>
      <c r="AI144" s="46"/>
      <c r="AJ144" s="46"/>
      <c r="AK144" s="46"/>
      <c r="AL144" s="46"/>
      <c r="AM144" s="46"/>
      <c r="AN144" s="46"/>
      <c r="AO144" s="46"/>
    </row>
    <row r="145" spans="27:42">
      <c r="AB145" s="46"/>
      <c r="AC145" s="46"/>
      <c r="AD145" s="46"/>
      <c r="AE145" s="46"/>
      <c r="AF145" s="46"/>
      <c r="AG145" s="46"/>
      <c r="AH145" s="46"/>
      <c r="AI145" s="46"/>
      <c r="AJ145" s="46"/>
      <c r="AK145" s="46"/>
      <c r="AL145" s="46"/>
      <c r="AM145" s="46"/>
      <c r="AN145" s="46"/>
      <c r="AO145" s="46"/>
    </row>
    <row r="146" spans="27:42" ht="28.5">
      <c r="AA146" s="369" t="s">
        <v>235</v>
      </c>
    </row>
    <row r="147" spans="27:42">
      <c r="AA147" t="s">
        <v>1086</v>
      </c>
      <c r="AB147" s="46">
        <v>0</v>
      </c>
      <c r="AC147" s="46">
        <v>613.89756817400064</v>
      </c>
      <c r="AD147" s="46">
        <v>628.63101625487241</v>
      </c>
      <c r="AE147" s="46">
        <v>653.4866066671492</v>
      </c>
      <c r="AF147" s="46">
        <v>694.1754453740291</v>
      </c>
      <c r="AG147" s="46">
        <v>757.11897151474011</v>
      </c>
      <c r="AH147" s="46">
        <v>844.39174039268642</v>
      </c>
      <c r="AI147" s="46">
        <v>918.37522683329928</v>
      </c>
      <c r="AJ147" s="46">
        <v>1000.7014613123863</v>
      </c>
      <c r="AK147" s="46">
        <v>1049.0865024392829</v>
      </c>
      <c r="AL147" s="46">
        <v>1115.1077294429626</v>
      </c>
      <c r="AM147" s="46">
        <v>1231.6281096859157</v>
      </c>
      <c r="AN147" s="46">
        <v>1403.9423346399872</v>
      </c>
      <c r="AO147" s="46">
        <v>1418.7701531458374</v>
      </c>
      <c r="AP147" s="702"/>
    </row>
    <row r="148" spans="27:42">
      <c r="AA148" t="s">
        <v>1088</v>
      </c>
      <c r="AB148" s="46">
        <v>0</v>
      </c>
      <c r="AC148" s="46">
        <v>0</v>
      </c>
      <c r="AD148" s="46">
        <v>718.1468390337883</v>
      </c>
      <c r="AE148" s="46">
        <v>743.10865912644329</v>
      </c>
      <c r="AF148" s="46">
        <v>783.97139781525641</v>
      </c>
      <c r="AG148" s="46">
        <v>847.1839393280502</v>
      </c>
      <c r="AH148" s="46">
        <v>934.82970156477791</v>
      </c>
      <c r="AI148" s="46">
        <v>1009.1293850618957</v>
      </c>
      <c r="AJ148" s="46">
        <v>1091.8074752408393</v>
      </c>
      <c r="AK148" s="46">
        <v>1140.3993070667527</v>
      </c>
      <c r="AL148" s="46">
        <v>1206.7027025145103</v>
      </c>
      <c r="AM148" s="46">
        <v>1323.721080202602</v>
      </c>
      <c r="AN148" s="46">
        <v>1496.7717567534944</v>
      </c>
      <c r="AO148" s="46">
        <v>1511.6629490307507</v>
      </c>
      <c r="AP148" s="702"/>
    </row>
    <row r="149" spans="27:42">
      <c r="AA149" t="s">
        <v>1090</v>
      </c>
      <c r="AB149" s="46">
        <v>0</v>
      </c>
      <c r="AC149" s="46">
        <v>0</v>
      </c>
      <c r="AD149" s="46">
        <v>784.14679298434032</v>
      </c>
      <c r="AE149" s="46">
        <v>808.94565176685251</v>
      </c>
      <c r="AF149" s="46">
        <v>849.54162150642867</v>
      </c>
      <c r="AG149" s="46">
        <v>912.34148393117584</v>
      </c>
      <c r="AH149" s="46">
        <v>999.41505764546764</v>
      </c>
      <c r="AI149" s="46">
        <v>1073.2296805254693</v>
      </c>
      <c r="AJ149" s="46">
        <v>1155.3680110068974</v>
      </c>
      <c r="AK149" s="46">
        <v>1203.6426160728513</v>
      </c>
      <c r="AL149" s="46">
        <v>1269.5131558514715</v>
      </c>
      <c r="AM149" s="46">
        <v>1385.7675873905728</v>
      </c>
      <c r="AN149" s="46">
        <v>1557.6885151743793</v>
      </c>
      <c r="AO149" s="46">
        <v>1572.4824884166926</v>
      </c>
      <c r="AP149" s="702"/>
    </row>
    <row r="150" spans="27:42">
      <c r="AA150" t="s">
        <v>1129</v>
      </c>
      <c r="AB150" s="46">
        <v>0</v>
      </c>
      <c r="AC150" s="46">
        <v>0</v>
      </c>
      <c r="AD150" s="46">
        <v>0</v>
      </c>
      <c r="AE150" s="46">
        <v>876.23023781589745</v>
      </c>
      <c r="AF150" s="46">
        <v>916.81145742370143</v>
      </c>
      <c r="AG150" s="46">
        <v>979.58851037380737</v>
      </c>
      <c r="AH150" s="46">
        <v>1066.6304578559036</v>
      </c>
      <c r="AI150" s="46">
        <v>1140.4182697840197</v>
      </c>
      <c r="AJ150" s="46">
        <v>1222.5267606217731</v>
      </c>
      <c r="AK150" s="46">
        <v>1270.7838349517192</v>
      </c>
      <c r="AL150" s="46">
        <v>1336.6304476529019</v>
      </c>
      <c r="AM150" s="46">
        <v>1452.8426485227967</v>
      </c>
      <c r="AN150" s="46">
        <v>1624.7011309466016</v>
      </c>
      <c r="AO150" s="46">
        <v>1639.4897338107819</v>
      </c>
      <c r="AP150" s="702"/>
    </row>
    <row r="151" spans="27:42">
      <c r="AP151" s="702"/>
    </row>
    <row r="152" spans="27:42">
      <c r="AA152" t="s">
        <v>1097</v>
      </c>
      <c r="AB152" s="46">
        <v>326.32444178665497</v>
      </c>
      <c r="AC152" s="46">
        <v>341.72812394162435</v>
      </c>
      <c r="AD152" s="46">
        <v>356.48698620104398</v>
      </c>
      <c r="AE152" s="46">
        <v>381.38545051585368</v>
      </c>
      <c r="AF152" s="46">
        <v>422.1444742626083</v>
      </c>
      <c r="AG152" s="46">
        <v>485.19657196433684</v>
      </c>
      <c r="AH152" s="46">
        <v>572.61987939525386</v>
      </c>
      <c r="AI152" s="46">
        <v>646.73098063873067</v>
      </c>
      <c r="AJ152" s="46">
        <v>729.19922167386505</v>
      </c>
      <c r="AK152" s="46">
        <v>777.66772312413912</v>
      </c>
      <c r="AL152" s="46">
        <v>843.80283171061274</v>
      </c>
      <c r="AM152" s="46">
        <v>960.52419911070251</v>
      </c>
      <c r="AN152" s="46">
        <v>1133.1356537333752</v>
      </c>
      <c r="AO152" s="46">
        <v>1147.9890487655543</v>
      </c>
      <c r="AP152" s="702"/>
    </row>
    <row r="153" spans="27:42">
      <c r="AA153" t="s">
        <v>1099</v>
      </c>
      <c r="AB153" s="46">
        <v>0</v>
      </c>
      <c r="AC153" s="46">
        <v>438.85594116014641</v>
      </c>
      <c r="AD153" s="46">
        <v>453.51679111323904</v>
      </c>
      <c r="AE153" s="46">
        <v>478.24990638130606</v>
      </c>
      <c r="AF153" s="46">
        <v>518.73825496135316</v>
      </c>
      <c r="AG153" s="46">
        <v>581.37162912134579</v>
      </c>
      <c r="AH153" s="46">
        <v>668.2143658156574</v>
      </c>
      <c r="AI153" s="46">
        <v>741.83330075327763</v>
      </c>
      <c r="AJ153" s="46">
        <v>823.75387613480143</v>
      </c>
      <c r="AK153" s="46">
        <v>871.90050263963121</v>
      </c>
      <c r="AL153" s="46">
        <v>937.59641623840116</v>
      </c>
      <c r="AM153" s="46">
        <v>1053.5426484143554</v>
      </c>
      <c r="AN153" s="46">
        <v>1225.0078024230061</v>
      </c>
      <c r="AO153" s="46">
        <v>1239.7625574291517</v>
      </c>
      <c r="AP153" s="702"/>
    </row>
    <row r="154" spans="27:42">
      <c r="AA154" t="s">
        <v>1101</v>
      </c>
      <c r="AB154" s="46">
        <v>0</v>
      </c>
      <c r="AC154" s="46">
        <v>549.06090361257918</v>
      </c>
      <c r="AD154" s="46">
        <v>563.70077869864826</v>
      </c>
      <c r="AE154" s="46">
        <v>588.39851273630609</v>
      </c>
      <c r="AF154" s="46">
        <v>628.82893475319202</v>
      </c>
      <c r="AG154" s="46">
        <v>691.37270633366313</v>
      </c>
      <c r="AH154" s="46">
        <v>778.0912035167413</v>
      </c>
      <c r="AI154" s="46">
        <v>851.60481802459208</v>
      </c>
      <c r="AJ154" s="46">
        <v>933.40819854441236</v>
      </c>
      <c r="AK154" s="46">
        <v>981.48594653617613</v>
      </c>
      <c r="AL154" s="46">
        <v>1047.0878728225744</v>
      </c>
      <c r="AM154" s="46">
        <v>1162.8682236127217</v>
      </c>
      <c r="AN154" s="46">
        <v>1334.0880813739273</v>
      </c>
      <c r="AO154" s="46">
        <v>1348.8217266118031</v>
      </c>
      <c r="AP154" s="702"/>
    </row>
    <row r="155" spans="27:42">
      <c r="AA155" t="s">
        <v>1131</v>
      </c>
      <c r="AB155" s="46">
        <v>0</v>
      </c>
      <c r="AC155" s="46">
        <v>0</v>
      </c>
      <c r="AD155" s="46">
        <v>673.88476628405749</v>
      </c>
      <c r="AE155" s="46">
        <v>698.54711909130606</v>
      </c>
      <c r="AF155" s="46">
        <v>738.91961454503087</v>
      </c>
      <c r="AG155" s="46">
        <v>801.37378354598047</v>
      </c>
      <c r="AH155" s="46">
        <v>887.9680412178252</v>
      </c>
      <c r="AI155" s="46">
        <v>961.37633529590653</v>
      </c>
      <c r="AJ155" s="46">
        <v>1043.0625209540233</v>
      </c>
      <c r="AK155" s="46">
        <v>1091.071390432721</v>
      </c>
      <c r="AL155" s="46">
        <v>1156.5793294067475</v>
      </c>
      <c r="AM155" s="46">
        <v>1272.1937988110881</v>
      </c>
      <c r="AN155" s="46">
        <v>1443.1683603248484</v>
      </c>
      <c r="AO155" s="46">
        <v>1457.8808957944545</v>
      </c>
      <c r="AP155" s="702"/>
    </row>
    <row r="156" spans="27:42">
      <c r="AP156" s="702"/>
    </row>
    <row r="157" spans="27:42">
      <c r="AP157" s="702"/>
    </row>
    <row r="158" spans="27:42" ht="28.5">
      <c r="AA158" s="369" t="s">
        <v>241</v>
      </c>
      <c r="AP158" s="702"/>
    </row>
    <row r="159" spans="27:42">
      <c r="AA159" t="s">
        <v>1086</v>
      </c>
      <c r="AB159" s="46">
        <v>0</v>
      </c>
      <c r="AC159" s="46">
        <v>605.57432911990361</v>
      </c>
      <c r="AD159" s="46">
        <v>620.30777695598181</v>
      </c>
      <c r="AE159" s="46">
        <v>645.16336729079217</v>
      </c>
      <c r="AF159" s="46">
        <v>685.85220627655087</v>
      </c>
      <c r="AG159" s="46">
        <v>748.79573182541924</v>
      </c>
      <c r="AH159" s="46">
        <v>836.06850023856782</v>
      </c>
      <c r="AI159" s="46">
        <v>910.05198557296137</v>
      </c>
      <c r="AJ159" s="46">
        <v>992.37822100643359</v>
      </c>
      <c r="AK159" s="46">
        <v>1040.7632628274282</v>
      </c>
      <c r="AL159" s="46">
        <v>1106.7844900851976</v>
      </c>
      <c r="AM159" s="46">
        <v>1223.3048697765905</v>
      </c>
      <c r="AN159" s="46">
        <v>1395.6190966146428</v>
      </c>
      <c r="AO159" s="46">
        <v>1410.4469142652651</v>
      </c>
      <c r="AP159" s="702"/>
    </row>
    <row r="160" spans="27:42">
      <c r="AA160" t="s">
        <v>1088</v>
      </c>
      <c r="AB160" s="46">
        <v>0</v>
      </c>
      <c r="AC160" s="46">
        <v>0</v>
      </c>
      <c r="AD160" s="46">
        <v>709.78802734497719</v>
      </c>
      <c r="AE160" s="46">
        <v>734.74984810989167</v>
      </c>
      <c r="AF160" s="46">
        <v>775.61258528985547</v>
      </c>
      <c r="AG160" s="46">
        <v>838.82512493526167</v>
      </c>
      <c r="AH160" s="46">
        <v>926.47088886010795</v>
      </c>
      <c r="AI160" s="46">
        <v>1000.7705731041808</v>
      </c>
      <c r="AJ160" s="46">
        <v>1083.4486605343293</v>
      </c>
      <c r="AK160" s="46">
        <v>1132.0404957364804</v>
      </c>
      <c r="AL160" s="46">
        <v>1198.3438934848593</v>
      </c>
      <c r="AM160" s="46">
        <v>1315.3622674680539</v>
      </c>
      <c r="AN160" s="46">
        <v>1488.4129458713949</v>
      </c>
      <c r="AO160" s="46">
        <v>1503.3041351010747</v>
      </c>
      <c r="AP160" s="702"/>
    </row>
    <row r="161" spans="27:45">
      <c r="AA161" t="s">
        <v>1090</v>
      </c>
      <c r="AB161" s="46">
        <v>0</v>
      </c>
      <c r="AC161" s="46">
        <v>0</v>
      </c>
      <c r="AD161" s="46">
        <v>775.84255130145755</v>
      </c>
      <c r="AE161" s="46">
        <v>800.64141034219222</v>
      </c>
      <c r="AF161" s="46">
        <v>841.23737918874849</v>
      </c>
      <c r="AG161" s="46">
        <v>904.0372402040307</v>
      </c>
      <c r="AH161" s="46">
        <v>991.11081468223097</v>
      </c>
      <c r="AI161" s="46">
        <v>1064.9254378096959</v>
      </c>
      <c r="AJ161" s="46">
        <v>1147.0637698404596</v>
      </c>
      <c r="AK161" s="46">
        <v>1195.3383754013405</v>
      </c>
      <c r="AL161" s="46">
        <v>1261.2089153736276</v>
      </c>
      <c r="AM161" s="46">
        <v>1377.4633422862403</v>
      </c>
      <c r="AN161" s="46">
        <v>1549.3842729104958</v>
      </c>
      <c r="AO161" s="46">
        <v>1564.1782468844397</v>
      </c>
      <c r="AP161" s="702"/>
    </row>
    <row r="162" spans="27:45">
      <c r="AA162" t="s">
        <v>1129</v>
      </c>
      <c r="AB162" s="46">
        <v>0</v>
      </c>
      <c r="AC162" s="46">
        <v>0</v>
      </c>
      <c r="AD162" s="46">
        <v>0</v>
      </c>
      <c r="AE162" s="46">
        <v>867.92901087099392</v>
      </c>
      <c r="AF162" s="46">
        <v>908.51023468140647</v>
      </c>
      <c r="AG162" s="46">
        <v>971.28728351707059</v>
      </c>
      <c r="AH162" s="46">
        <v>1058.3292300881117</v>
      </c>
      <c r="AI162" s="46">
        <v>1132.1170422513389</v>
      </c>
      <c r="AJ162" s="46">
        <v>1214.2255372623119</v>
      </c>
      <c r="AK162" s="46">
        <v>1262.4826085358152</v>
      </c>
      <c r="AL162" s="46">
        <v>1328.3292194148878</v>
      </c>
      <c r="AM162" s="46">
        <v>1444.5414218130038</v>
      </c>
      <c r="AN162" s="46">
        <v>1616.3999041192535</v>
      </c>
      <c r="AO162" s="46">
        <v>1631.188504514769</v>
      </c>
      <c r="AP162" s="702"/>
      <c r="AQ162" s="702"/>
      <c r="AR162" s="702"/>
      <c r="AS162" s="702"/>
    </row>
    <row r="163" spans="27:45">
      <c r="AP163" s="702"/>
      <c r="AQ163" s="702"/>
      <c r="AR163" s="702"/>
      <c r="AS163" s="702"/>
    </row>
    <row r="164" spans="27:45">
      <c r="AA164" t="s">
        <v>1097</v>
      </c>
      <c r="AB164" s="46">
        <v>317.98684558452436</v>
      </c>
      <c r="AC164" s="46">
        <v>333.39052752325279</v>
      </c>
      <c r="AD164" s="46">
        <v>348.14938943660138</v>
      </c>
      <c r="AE164" s="46">
        <v>373.04785410433499</v>
      </c>
      <c r="AF164" s="46">
        <v>413.80687777913425</v>
      </c>
      <c r="AG164" s="46">
        <v>476.85897520674712</v>
      </c>
      <c r="AH164" s="46">
        <v>564.28228248004757</v>
      </c>
      <c r="AI164" s="46">
        <v>638.39338439510789</v>
      </c>
      <c r="AJ164" s="46">
        <v>720.86162464901258</v>
      </c>
      <c r="AK164" s="46">
        <v>769.33012613355106</v>
      </c>
      <c r="AL164" s="46">
        <v>835.46523602892705</v>
      </c>
      <c r="AM164" s="46">
        <v>952.18660391557205</v>
      </c>
      <c r="AN164" s="46">
        <v>1124.7980577433095</v>
      </c>
      <c r="AO164" s="46">
        <v>1139.6514531866621</v>
      </c>
      <c r="AP164" s="702"/>
      <c r="AQ164" s="702"/>
      <c r="AR164" s="702"/>
      <c r="AS164" s="702"/>
    </row>
    <row r="165" spans="27:45">
      <c r="AA165" t="s">
        <v>1099</v>
      </c>
      <c r="AB165" s="46">
        <v>0</v>
      </c>
      <c r="AC165" s="46">
        <v>430.57371490699188</v>
      </c>
      <c r="AD165" s="46">
        <v>445.23456444617398</v>
      </c>
      <c r="AE165" s="46">
        <v>469.96768114778479</v>
      </c>
      <c r="AF165" s="46">
        <v>510.45602518491143</v>
      </c>
      <c r="AG165" s="46">
        <v>573.08940164665046</v>
      </c>
      <c r="AH165" s="46">
        <v>659.93213777562084</v>
      </c>
      <c r="AI165" s="46">
        <v>733.55107461117223</v>
      </c>
      <c r="AJ165" s="46">
        <v>815.47165007345916</v>
      </c>
      <c r="AK165" s="46">
        <v>863.61827520531733</v>
      </c>
      <c r="AL165" s="46">
        <v>929.31418872332404</v>
      </c>
      <c r="AM165" s="46">
        <v>1045.2604196878333</v>
      </c>
      <c r="AN165" s="46">
        <v>1216.7255791883697</v>
      </c>
      <c r="AO165" s="46">
        <v>1231.4803298333118</v>
      </c>
      <c r="AP165" s="702"/>
      <c r="AQ165" s="702"/>
      <c r="AR165" s="702"/>
      <c r="AS165" s="702"/>
    </row>
    <row r="166" spans="27:45">
      <c r="AA166" t="s">
        <v>1101</v>
      </c>
      <c r="AB166" s="46">
        <v>0</v>
      </c>
      <c r="AC166" s="46">
        <v>540.79052622907625</v>
      </c>
      <c r="AD166" s="46">
        <v>555.43040197533935</v>
      </c>
      <c r="AE166" s="46">
        <v>580.12813339667252</v>
      </c>
      <c r="AF166" s="46">
        <v>620.55855834775446</v>
      </c>
      <c r="AG166" s="46">
        <v>683.10232562473823</v>
      </c>
      <c r="AH166" s="46">
        <v>769.82082393259157</v>
      </c>
      <c r="AI166" s="46">
        <v>843.33443971192708</v>
      </c>
      <c r="AJ166" s="46">
        <v>925.13781749316445</v>
      </c>
      <c r="AK166" s="46">
        <v>973.21556568054154</v>
      </c>
      <c r="AL166" s="46">
        <v>1038.817490402035</v>
      </c>
      <c r="AM166" s="46">
        <v>1154.5978451044436</v>
      </c>
      <c r="AN166" s="46">
        <v>1325.8177044305535</v>
      </c>
      <c r="AO166" s="46">
        <v>1340.5513529938517</v>
      </c>
      <c r="AP166" s="702"/>
      <c r="AQ166" s="702"/>
      <c r="AR166" s="702"/>
      <c r="AS166" s="702"/>
    </row>
    <row r="167" spans="27:45">
      <c r="AA167" t="s">
        <v>1131</v>
      </c>
      <c r="AB167" s="46">
        <v>0</v>
      </c>
      <c r="AC167" s="46">
        <v>0</v>
      </c>
      <c r="AD167" s="46">
        <v>665.62623950450472</v>
      </c>
      <c r="AE167" s="46">
        <v>690.28858564556026</v>
      </c>
      <c r="AF167" s="46">
        <v>730.66109151059754</v>
      </c>
      <c r="AG167" s="46">
        <v>793.115249602826</v>
      </c>
      <c r="AH167" s="46">
        <v>879.70951008956229</v>
      </c>
      <c r="AI167" s="46">
        <v>953.11780481268192</v>
      </c>
      <c r="AJ167" s="46">
        <v>1034.8039849128697</v>
      </c>
      <c r="AK167" s="46">
        <v>1082.8128561557658</v>
      </c>
      <c r="AL167" s="46">
        <v>1148.3207920807458</v>
      </c>
      <c r="AM167" s="46">
        <v>1263.935270521054</v>
      </c>
      <c r="AN167" s="46">
        <v>1434.9098296727373</v>
      </c>
      <c r="AO167" s="46">
        <v>1449.6223761543915</v>
      </c>
      <c r="AP167" s="702"/>
      <c r="AQ167" s="702"/>
      <c r="AR167" s="702"/>
      <c r="AS167" s="702"/>
    </row>
    <row r="168" spans="27:45">
      <c r="AP168" s="702"/>
      <c r="AQ168" s="702"/>
      <c r="AR168" s="702"/>
      <c r="AS168" s="702"/>
    </row>
    <row r="169" spans="27:45">
      <c r="AP169" s="702"/>
      <c r="AQ169" s="702"/>
      <c r="AR169" s="702"/>
      <c r="AS169" s="702"/>
    </row>
    <row r="170" spans="27:45" ht="28.5">
      <c r="AA170" s="369" t="s">
        <v>236</v>
      </c>
      <c r="AP170" s="702"/>
      <c r="AQ170" s="702"/>
      <c r="AR170" s="702"/>
      <c r="AS170" s="702"/>
    </row>
    <row r="171" spans="27:45">
      <c r="AA171" t="s">
        <v>1086</v>
      </c>
      <c r="AB171" s="46">
        <v>0</v>
      </c>
      <c r="AC171" s="46">
        <v>624.09795981459342</v>
      </c>
      <c r="AD171" s="46">
        <v>638.83140775137781</v>
      </c>
      <c r="AE171" s="46">
        <v>663.6869982411207</v>
      </c>
      <c r="AF171" s="46">
        <v>704.37583677757493</v>
      </c>
      <c r="AG171" s="46">
        <v>767.31936229235794</v>
      </c>
      <c r="AH171" s="46">
        <v>854.59213110833139</v>
      </c>
      <c r="AI171" s="46">
        <v>928.57561771627127</v>
      </c>
      <c r="AJ171" s="46">
        <v>1010.9018520156366</v>
      </c>
      <c r="AK171" s="46">
        <v>1059.2868935205688</v>
      </c>
      <c r="AL171" s="46">
        <v>1125.308121590185</v>
      </c>
      <c r="AM171" s="46">
        <v>1241.8285007795962</v>
      </c>
      <c r="AN171" s="46">
        <v>1414.142726613685</v>
      </c>
      <c r="AO171" s="46">
        <v>1428.9705451691138</v>
      </c>
      <c r="AP171" s="702"/>
    </row>
    <row r="172" spans="27:45">
      <c r="AA172" t="s">
        <v>1088</v>
      </c>
      <c r="AB172" s="46">
        <v>0</v>
      </c>
      <c r="AC172" s="46">
        <v>0</v>
      </c>
      <c r="AD172" s="46">
        <v>728.39082754204787</v>
      </c>
      <c r="AE172" s="46">
        <v>753.35264750025078</v>
      </c>
      <c r="AF172" s="46">
        <v>794.21538420216359</v>
      </c>
      <c r="AG172" s="46">
        <v>857.42792453476818</v>
      </c>
      <c r="AH172" s="46">
        <v>945.07368848949261</v>
      </c>
      <c r="AI172" s="46">
        <v>1019.3733726738092</v>
      </c>
      <c r="AJ172" s="46">
        <v>1102.0514606417655</v>
      </c>
      <c r="AK172" s="46">
        <v>1150.6432938121984</v>
      </c>
      <c r="AL172" s="46">
        <v>1216.9466910825263</v>
      </c>
      <c r="AM172" s="46">
        <v>1333.9650662010927</v>
      </c>
      <c r="AN172" s="46">
        <v>1507.0157453215104</v>
      </c>
      <c r="AO172" s="46">
        <v>1521.9069347902157</v>
      </c>
    </row>
    <row r="173" spans="27:45">
      <c r="AA173" t="s">
        <v>1090</v>
      </c>
      <c r="AB173" s="46">
        <v>0</v>
      </c>
      <c r="AC173" s="46">
        <v>0</v>
      </c>
      <c r="AD173" s="46">
        <v>794.32390300596694</v>
      </c>
      <c r="AE173" s="46">
        <v>819.12276256314692</v>
      </c>
      <c r="AF173" s="46">
        <v>859.71873175400026</v>
      </c>
      <c r="AG173" s="46">
        <v>922.51859215600336</v>
      </c>
      <c r="AH173" s="46">
        <v>1009.5921666019259</v>
      </c>
      <c r="AI173" s="46">
        <v>1083.4067915477087</v>
      </c>
      <c r="AJ173" s="46">
        <v>1165.5451206734681</v>
      </c>
      <c r="AK173" s="46">
        <v>1213.8197275684988</v>
      </c>
      <c r="AL173" s="46">
        <v>1279.6902664863769</v>
      </c>
      <c r="AM173" s="46">
        <v>1395.9446943888429</v>
      </c>
      <c r="AN173" s="46">
        <v>1567.8656236789484</v>
      </c>
      <c r="AO173" s="46">
        <v>1582.6596008806748</v>
      </c>
    </row>
    <row r="174" spans="27:45">
      <c r="AA174" t="s">
        <v>1129</v>
      </c>
      <c r="AB174" s="46">
        <v>0</v>
      </c>
      <c r="AC174" s="46">
        <v>0</v>
      </c>
      <c r="AD174" s="46">
        <v>0</v>
      </c>
      <c r="AE174" s="46">
        <v>886.4036482576978</v>
      </c>
      <c r="AF174" s="46">
        <v>926.98487300855425</v>
      </c>
      <c r="AG174" s="46">
        <v>989.76192337243947</v>
      </c>
      <c r="AH174" s="46">
        <v>1076.8038683858706</v>
      </c>
      <c r="AI174" s="46">
        <v>1150.5916800788759</v>
      </c>
      <c r="AJ174" s="46">
        <v>1232.7001771470696</v>
      </c>
      <c r="AK174" s="46">
        <v>1280.957248655684</v>
      </c>
      <c r="AL174" s="46">
        <v>1346.8038609454225</v>
      </c>
      <c r="AM174" s="46">
        <v>1463.0160618740949</v>
      </c>
      <c r="AN174" s="46">
        <v>1634.8745434750119</v>
      </c>
      <c r="AO174" s="46">
        <v>1649.663143635416</v>
      </c>
    </row>
    <row r="176" spans="27:45">
      <c r="AA176" t="s">
        <v>1097</v>
      </c>
      <c r="AB176" s="46">
        <v>336.54242848908052</v>
      </c>
      <c r="AC176" s="46">
        <v>351.94611026242944</v>
      </c>
      <c r="AD176" s="46">
        <v>366.7049721993348</v>
      </c>
      <c r="AE176" s="46">
        <v>391.60343635909783</v>
      </c>
      <c r="AF176" s="46">
        <v>432.36246082540617</v>
      </c>
      <c r="AG176" s="46">
        <v>495.41455826329832</v>
      </c>
      <c r="AH176" s="46">
        <v>582.83786554687822</v>
      </c>
      <c r="AI176" s="46">
        <v>656.94896752018803</v>
      </c>
      <c r="AJ176" s="46">
        <v>739.41720771926964</v>
      </c>
      <c r="AK176" s="46">
        <v>787.88570882004615</v>
      </c>
      <c r="AL176" s="46">
        <v>854.02081833166028</v>
      </c>
      <c r="AM176" s="46">
        <v>970.7421865335383</v>
      </c>
      <c r="AN176" s="46">
        <v>1143.3536405463037</v>
      </c>
      <c r="AO176" s="46">
        <v>1158.2070358937158</v>
      </c>
    </row>
    <row r="177" spans="27:41">
      <c r="AA177" t="s">
        <v>1099</v>
      </c>
      <c r="AB177" s="46">
        <v>0</v>
      </c>
      <c r="AC177" s="46">
        <v>449.00607267684506</v>
      </c>
      <c r="AD177" s="46">
        <v>463.66692273089143</v>
      </c>
      <c r="AE177" s="46">
        <v>488.40003814029376</v>
      </c>
      <c r="AF177" s="46">
        <v>528.88838288409693</v>
      </c>
      <c r="AG177" s="46">
        <v>591.52175740752318</v>
      </c>
      <c r="AH177" s="46">
        <v>678.36449418259792</v>
      </c>
      <c r="AI177" s="46">
        <v>751.98342960479624</v>
      </c>
      <c r="AJ177" s="46">
        <v>833.90400716692204</v>
      </c>
      <c r="AK177" s="46">
        <v>882.05063391404087</v>
      </c>
      <c r="AL177" s="46">
        <v>947.74654605907608</v>
      </c>
      <c r="AM177" s="46">
        <v>1063.6927756506136</v>
      </c>
      <c r="AN177" s="46">
        <v>1235.1579333743634</v>
      </c>
      <c r="AO177" s="46">
        <v>1249.9126859576184</v>
      </c>
    </row>
    <row r="178" spans="27:41">
      <c r="AA178" t="s">
        <v>1101</v>
      </c>
      <c r="AB178" s="46">
        <v>0</v>
      </c>
      <c r="AC178" s="46">
        <v>559.19651207980212</v>
      </c>
      <c r="AD178" s="46">
        <v>573.83638855961431</v>
      </c>
      <c r="AE178" s="46">
        <v>598.53412093456109</v>
      </c>
      <c r="AF178" s="46">
        <v>638.96454451635157</v>
      </c>
      <c r="AG178" s="46">
        <v>701.50831404288544</v>
      </c>
      <c r="AH178" s="46">
        <v>788.22681151938332</v>
      </c>
      <c r="AI178" s="46">
        <v>861.74043033072121</v>
      </c>
      <c r="AJ178" s="46">
        <v>943.54380605802157</v>
      </c>
      <c r="AK178" s="46">
        <v>991.62155385417236</v>
      </c>
      <c r="AL178" s="46">
        <v>1057.2234767173422</v>
      </c>
      <c r="AM178" s="46">
        <v>1173.0038324956224</v>
      </c>
      <c r="AN178" s="46">
        <v>1344.2236884963104</v>
      </c>
      <c r="AO178" s="46">
        <v>1358.9573370596083</v>
      </c>
    </row>
    <row r="179" spans="27:41">
      <c r="AA179" t="s">
        <v>1131</v>
      </c>
      <c r="AB179" s="46">
        <v>0</v>
      </c>
      <c r="AC179" s="46">
        <v>0</v>
      </c>
      <c r="AD179" s="46">
        <v>684.00585438833718</v>
      </c>
      <c r="AE179" s="46">
        <v>708.66820372882842</v>
      </c>
      <c r="AF179" s="46">
        <v>749.0407061486062</v>
      </c>
      <c r="AG179" s="46">
        <v>811.49487067824771</v>
      </c>
      <c r="AH179" s="46">
        <v>898.08912885616871</v>
      </c>
      <c r="AI179" s="46">
        <v>971.49743105664618</v>
      </c>
      <c r="AJ179" s="46">
        <v>1053.1836049491212</v>
      </c>
      <c r="AK179" s="46">
        <v>1101.1924737943039</v>
      </c>
      <c r="AL179" s="46">
        <v>1166.7004073756084</v>
      </c>
      <c r="AM179" s="46">
        <v>1282.3148893406312</v>
      </c>
      <c r="AN179" s="46">
        <v>1453.2894436182573</v>
      </c>
      <c r="AO179" s="46">
        <v>1468.0019881615983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5FBE-F29F-4F0F-814F-DD7C9D607868}">
  <dimension ref="A1:C103"/>
  <sheetViews>
    <sheetView topLeftCell="A48" workbookViewId="0">
      <selection activeCell="D68" sqref="D68"/>
    </sheetView>
  </sheetViews>
  <sheetFormatPr defaultRowHeight="12.75"/>
  <cols>
    <col min="1" max="1" width="17" bestFit="1" customWidth="1"/>
    <col min="2" max="2" width="118.140625" customWidth="1"/>
    <col min="3" max="3" width="19.7109375" customWidth="1"/>
  </cols>
  <sheetData>
    <row r="1" spans="1:3" s="368" customFormat="1" ht="16.5" customHeight="1">
      <c r="A1" s="600" t="s">
        <v>1150</v>
      </c>
      <c r="B1" s="601" t="s">
        <v>1151</v>
      </c>
      <c r="C1" s="601" t="s">
        <v>1152</v>
      </c>
    </row>
    <row r="2" spans="1:3" ht="16.5" customHeight="1">
      <c r="A2" s="898">
        <v>44733</v>
      </c>
      <c r="B2" s="602" t="s">
        <v>1153</v>
      </c>
      <c r="C2" s="892" t="s">
        <v>1154</v>
      </c>
    </row>
    <row r="3" spans="1:3" ht="16.5" customHeight="1">
      <c r="A3" s="898"/>
      <c r="B3" s="602" t="s">
        <v>1155</v>
      </c>
      <c r="C3" s="892"/>
    </row>
    <row r="4" spans="1:3" ht="16.5" customHeight="1">
      <c r="A4" s="898"/>
      <c r="B4" s="602" t="s">
        <v>1156</v>
      </c>
      <c r="C4" s="892"/>
    </row>
    <row r="5" spans="1:3" ht="16.5" customHeight="1">
      <c r="A5" s="898"/>
      <c r="B5" s="602" t="s">
        <v>1157</v>
      </c>
      <c r="C5" s="892"/>
    </row>
    <row r="6" spans="1:3" ht="16.5" customHeight="1">
      <c r="A6" s="897">
        <v>44762</v>
      </c>
      <c r="B6" s="602" t="s">
        <v>1158</v>
      </c>
      <c r="C6" s="894" t="s">
        <v>1159</v>
      </c>
    </row>
    <row r="7" spans="1:3" ht="16.5" customHeight="1">
      <c r="A7" s="899"/>
      <c r="B7" s="602" t="s">
        <v>1160</v>
      </c>
      <c r="C7" s="899"/>
    </row>
    <row r="8" spans="1:3" ht="16.5" customHeight="1">
      <c r="A8" s="899"/>
      <c r="B8" s="602" t="s">
        <v>1161</v>
      </c>
      <c r="C8" s="899"/>
    </row>
    <row r="9" spans="1:3" ht="16.5" customHeight="1">
      <c r="A9" s="897">
        <v>44763</v>
      </c>
      <c r="B9" s="602" t="s">
        <v>1162</v>
      </c>
      <c r="C9" s="892" t="s">
        <v>1154</v>
      </c>
    </row>
    <row r="10" spans="1:3" ht="16.5" customHeight="1">
      <c r="A10" s="897"/>
      <c r="B10" s="602" t="s">
        <v>1163</v>
      </c>
      <c r="C10" s="892"/>
    </row>
    <row r="11" spans="1:3" ht="16.5" customHeight="1">
      <c r="A11" s="897">
        <v>44791</v>
      </c>
      <c r="B11" s="602" t="s">
        <v>1164</v>
      </c>
      <c r="C11" s="892" t="s">
        <v>1159</v>
      </c>
    </row>
    <row r="12" spans="1:3" ht="16.5" customHeight="1">
      <c r="A12" s="897"/>
      <c r="B12" s="602" t="s">
        <v>1165</v>
      </c>
      <c r="C12" s="892"/>
    </row>
    <row r="13" spans="1:3" ht="16.5" customHeight="1">
      <c r="A13" s="897"/>
      <c r="B13" s="602" t="s">
        <v>1166</v>
      </c>
      <c r="C13" s="892"/>
    </row>
    <row r="14" spans="1:3" ht="16.5" customHeight="1">
      <c r="A14" s="897"/>
      <c r="B14" s="602" t="s">
        <v>1167</v>
      </c>
      <c r="C14" s="892"/>
    </row>
    <row r="15" spans="1:3" ht="16.5" customHeight="1">
      <c r="A15" s="895">
        <v>44809</v>
      </c>
      <c r="B15" s="602" t="s">
        <v>1168</v>
      </c>
      <c r="C15" s="892" t="s">
        <v>1159</v>
      </c>
    </row>
    <row r="16" spans="1:3" ht="16.5" customHeight="1">
      <c r="A16" s="895"/>
      <c r="B16" s="602" t="s">
        <v>1169</v>
      </c>
      <c r="C16" s="892"/>
    </row>
    <row r="17" spans="1:3" ht="16.5" customHeight="1">
      <c r="A17" s="663">
        <v>44827</v>
      </c>
      <c r="B17" s="602" t="s">
        <v>1170</v>
      </c>
      <c r="C17" s="662" t="s">
        <v>1159</v>
      </c>
    </row>
    <row r="18" spans="1:3" ht="16.5" customHeight="1">
      <c r="A18" s="663">
        <v>44847</v>
      </c>
      <c r="B18" s="602" t="s">
        <v>1171</v>
      </c>
      <c r="C18" s="662" t="s">
        <v>1159</v>
      </c>
    </row>
    <row r="19" spans="1:3" ht="16.5" customHeight="1">
      <c r="A19" s="663">
        <v>44852</v>
      </c>
      <c r="B19" s="602" t="s">
        <v>1172</v>
      </c>
      <c r="C19" s="662" t="s">
        <v>1159</v>
      </c>
    </row>
    <row r="20" spans="1:3" ht="16.5" customHeight="1">
      <c r="A20" s="895">
        <v>44869</v>
      </c>
      <c r="B20" s="602" t="s">
        <v>1173</v>
      </c>
      <c r="C20" s="892" t="s">
        <v>1159</v>
      </c>
    </row>
    <row r="21" spans="1:3" ht="16.5" customHeight="1">
      <c r="A21" s="895"/>
      <c r="B21" s="602" t="s">
        <v>1174</v>
      </c>
      <c r="C21" s="892"/>
    </row>
    <row r="22" spans="1:3" ht="16.5" customHeight="1">
      <c r="A22" s="895">
        <v>44896</v>
      </c>
      <c r="B22" s="602" t="s">
        <v>1175</v>
      </c>
      <c r="C22" s="892" t="s">
        <v>1159</v>
      </c>
    </row>
    <row r="23" spans="1:3" ht="16.5" customHeight="1">
      <c r="A23" s="895"/>
      <c r="B23" s="602" t="s">
        <v>1176</v>
      </c>
      <c r="C23" s="892"/>
    </row>
    <row r="24" spans="1:3" ht="16.5" customHeight="1">
      <c r="A24" s="895">
        <v>44918</v>
      </c>
      <c r="B24" s="602" t="s">
        <v>1177</v>
      </c>
      <c r="C24" s="892" t="s">
        <v>1159</v>
      </c>
    </row>
    <row r="25" spans="1:3" ht="16.5" customHeight="1">
      <c r="A25" s="895"/>
      <c r="B25" s="602" t="s">
        <v>1178</v>
      </c>
      <c r="C25" s="892"/>
    </row>
    <row r="26" spans="1:3">
      <c r="A26" s="895"/>
      <c r="B26" s="602" t="s">
        <v>1179</v>
      </c>
      <c r="C26" s="892"/>
    </row>
    <row r="27" spans="1:3">
      <c r="A27" s="895"/>
      <c r="B27" s="602" t="s">
        <v>1180</v>
      </c>
      <c r="C27" s="892"/>
    </row>
    <row r="28" spans="1:3">
      <c r="A28" s="895"/>
      <c r="B28" s="602" t="s">
        <v>1181</v>
      </c>
      <c r="C28" s="892"/>
    </row>
    <row r="29" spans="1:3">
      <c r="A29" s="895">
        <v>44979</v>
      </c>
      <c r="B29" s="602" t="s">
        <v>1424</v>
      </c>
      <c r="C29" s="892" t="s">
        <v>1159</v>
      </c>
    </row>
    <row r="30" spans="1:3">
      <c r="A30" s="895"/>
      <c r="B30" s="602" t="s">
        <v>1425</v>
      </c>
      <c r="C30" s="892"/>
    </row>
    <row r="31" spans="1:3">
      <c r="A31" s="895"/>
      <c r="B31" s="602" t="s">
        <v>1426</v>
      </c>
      <c r="C31" s="892"/>
    </row>
    <row r="32" spans="1:3">
      <c r="A32" s="895"/>
      <c r="B32" s="896" t="s">
        <v>1427</v>
      </c>
      <c r="C32" s="892"/>
    </row>
    <row r="33" spans="1:3">
      <c r="A33" s="895"/>
      <c r="B33" s="896"/>
      <c r="C33" s="892"/>
    </row>
    <row r="34" spans="1:3">
      <c r="A34" s="895">
        <v>45008</v>
      </c>
      <c r="B34" s="602" t="s">
        <v>1433</v>
      </c>
      <c r="C34" s="892" t="s">
        <v>1159</v>
      </c>
    </row>
    <row r="35" spans="1:3">
      <c r="A35" s="895"/>
      <c r="B35" s="602" t="s">
        <v>1434</v>
      </c>
      <c r="C35" s="892"/>
    </row>
    <row r="36" spans="1:3">
      <c r="A36" s="895"/>
      <c r="B36" s="896" t="s">
        <v>1435</v>
      </c>
      <c r="C36" s="892"/>
    </row>
    <row r="37" spans="1:3">
      <c r="A37" s="895"/>
      <c r="B37" s="896"/>
      <c r="C37" s="892"/>
    </row>
    <row r="38" spans="1:3">
      <c r="A38" s="895"/>
      <c r="B38" s="896"/>
      <c r="C38" s="892"/>
    </row>
    <row r="39" spans="1:3">
      <c r="A39" s="891">
        <v>45049</v>
      </c>
      <c r="B39" s="666" t="s">
        <v>1436</v>
      </c>
      <c r="C39" s="892" t="s">
        <v>1159</v>
      </c>
    </row>
    <row r="40" spans="1:3">
      <c r="A40" s="891"/>
      <c r="B40" s="602" t="s">
        <v>1437</v>
      </c>
      <c r="C40" s="892"/>
    </row>
    <row r="41" spans="1:3">
      <c r="A41" s="891">
        <v>45070</v>
      </c>
      <c r="B41" s="602" t="s">
        <v>1438</v>
      </c>
      <c r="C41" s="892" t="s">
        <v>1159</v>
      </c>
    </row>
    <row r="42" spans="1:3">
      <c r="A42" s="891"/>
      <c r="B42" s="602" t="s">
        <v>1439</v>
      </c>
      <c r="C42" s="892"/>
    </row>
    <row r="43" spans="1:3">
      <c r="A43" s="891">
        <v>45100</v>
      </c>
      <c r="B43" s="602" t="s">
        <v>1443</v>
      </c>
      <c r="C43" s="892" t="s">
        <v>1159</v>
      </c>
    </row>
    <row r="44" spans="1:3">
      <c r="A44" s="891"/>
      <c r="B44" s="602" t="s">
        <v>1444</v>
      </c>
      <c r="C44" s="892"/>
    </row>
    <row r="45" spans="1:3">
      <c r="A45" s="891"/>
      <c r="B45" s="602" t="s">
        <v>1445</v>
      </c>
      <c r="C45" s="892"/>
    </row>
    <row r="46" spans="1:3">
      <c r="A46" s="891"/>
      <c r="B46" s="602" t="s">
        <v>1446</v>
      </c>
      <c r="C46" s="892"/>
    </row>
    <row r="47" spans="1:3">
      <c r="A47" s="891"/>
      <c r="B47" s="602" t="s">
        <v>1447</v>
      </c>
      <c r="C47" s="892"/>
    </row>
    <row r="48" spans="1:3">
      <c r="A48" s="891"/>
      <c r="B48" s="602" t="s">
        <v>1448</v>
      </c>
      <c r="C48" s="892"/>
    </row>
    <row r="49" spans="1:3">
      <c r="A49" s="891"/>
      <c r="B49" s="602" t="s">
        <v>1449</v>
      </c>
      <c r="C49" s="892"/>
    </row>
    <row r="50" spans="1:3">
      <c r="A50" s="667">
        <v>45142</v>
      </c>
      <c r="B50" s="602" t="s">
        <v>1450</v>
      </c>
      <c r="C50" s="668" t="s">
        <v>1159</v>
      </c>
    </row>
    <row r="51" spans="1:3">
      <c r="A51" s="891">
        <v>45170</v>
      </c>
      <c r="B51" s="602" t="s">
        <v>1452</v>
      </c>
      <c r="C51" s="894" t="s">
        <v>1159</v>
      </c>
    </row>
    <row r="52" spans="1:3">
      <c r="A52" s="891"/>
      <c r="B52" s="602" t="s">
        <v>1453</v>
      </c>
      <c r="C52" s="894"/>
    </row>
    <row r="53" spans="1:3">
      <c r="A53" s="891">
        <v>45252</v>
      </c>
      <c r="B53" s="602" t="s">
        <v>1458</v>
      </c>
      <c r="C53" s="893" t="s">
        <v>1159</v>
      </c>
    </row>
    <row r="54" spans="1:3">
      <c r="A54" s="891"/>
      <c r="B54" s="602" t="s">
        <v>1459</v>
      </c>
      <c r="C54" s="893"/>
    </row>
    <row r="55" spans="1:3">
      <c r="A55" s="714">
        <v>45470</v>
      </c>
      <c r="B55" s="602" t="s">
        <v>1608</v>
      </c>
      <c r="C55" t="s">
        <v>1609</v>
      </c>
    </row>
    <row r="56" spans="1:3">
      <c r="A56" s="714">
        <v>45475</v>
      </c>
      <c r="B56" s="602" t="s">
        <v>1611</v>
      </c>
      <c r="C56" t="s">
        <v>1609</v>
      </c>
    </row>
    <row r="57" spans="1:3">
      <c r="A57" s="714">
        <v>45511</v>
      </c>
      <c r="B57" t="s">
        <v>1612</v>
      </c>
      <c r="C57" t="s">
        <v>1609</v>
      </c>
    </row>
    <row r="58" spans="1:3">
      <c r="A58" s="714">
        <v>45594</v>
      </c>
      <c r="B58" s="602" t="s">
        <v>1615</v>
      </c>
      <c r="C58" t="s">
        <v>1609</v>
      </c>
    </row>
    <row r="59" spans="1:3">
      <c r="A59" s="714">
        <v>45615</v>
      </c>
      <c r="B59" s="602" t="s">
        <v>1616</v>
      </c>
      <c r="C59" t="s">
        <v>1609</v>
      </c>
    </row>
    <row r="60" spans="1:3">
      <c r="A60" s="714">
        <v>45685</v>
      </c>
      <c r="B60" s="602" t="s">
        <v>1617</v>
      </c>
      <c r="C60" s="427" t="s">
        <v>1618</v>
      </c>
    </row>
    <row r="61" spans="1:3">
      <c r="A61" s="714">
        <v>45709</v>
      </c>
      <c r="B61" s="602" t="s">
        <v>1619</v>
      </c>
      <c r="C61" s="427" t="s">
        <v>1609</v>
      </c>
    </row>
    <row r="62" spans="1:3">
      <c r="A62" s="714">
        <v>45756</v>
      </c>
      <c r="B62" s="602" t="s">
        <v>1622</v>
      </c>
      <c r="C62" s="427" t="s">
        <v>1609</v>
      </c>
    </row>
    <row r="63" spans="1:3">
      <c r="A63" s="714">
        <v>45793</v>
      </c>
      <c r="B63" s="602" t="s">
        <v>1623</v>
      </c>
      <c r="C63" s="427" t="s">
        <v>1609</v>
      </c>
    </row>
    <row r="64" spans="1:3">
      <c r="A64" s="714">
        <v>45809</v>
      </c>
      <c r="B64" s="602" t="s">
        <v>1625</v>
      </c>
      <c r="C64" s="427" t="s">
        <v>1609</v>
      </c>
    </row>
    <row r="65" spans="1:3">
      <c r="A65" s="714">
        <v>45833</v>
      </c>
      <c r="B65" s="602" t="s">
        <v>1661</v>
      </c>
      <c r="C65" s="427" t="s">
        <v>1609</v>
      </c>
    </row>
    <row r="66" spans="1:3">
      <c r="A66" s="714">
        <v>45839</v>
      </c>
      <c r="B66" s="602" t="s">
        <v>1626</v>
      </c>
      <c r="C66" s="427" t="s">
        <v>1609</v>
      </c>
    </row>
    <row r="67" spans="1:3" ht="24">
      <c r="A67" s="714">
        <v>45901</v>
      </c>
      <c r="B67" s="752" t="s">
        <v>1660</v>
      </c>
      <c r="C67" s="427" t="s">
        <v>1609</v>
      </c>
    </row>
    <row r="68" spans="1:3">
      <c r="A68" s="714">
        <v>45944</v>
      </c>
      <c r="B68" s="602" t="s">
        <v>1662</v>
      </c>
      <c r="C68" s="427" t="s">
        <v>1609</v>
      </c>
    </row>
    <row r="69" spans="1:3">
      <c r="A69" s="714"/>
    </row>
    <row r="70" spans="1:3">
      <c r="A70" s="714"/>
    </row>
    <row r="71" spans="1:3">
      <c r="A71" s="714"/>
    </row>
    <row r="72" spans="1:3">
      <c r="A72" s="714"/>
    </row>
    <row r="73" spans="1:3">
      <c r="A73" s="714"/>
    </row>
    <row r="74" spans="1:3">
      <c r="A74" s="714"/>
    </row>
    <row r="75" spans="1:3">
      <c r="A75" s="714"/>
    </row>
    <row r="76" spans="1:3">
      <c r="A76" s="714"/>
    </row>
    <row r="77" spans="1:3">
      <c r="A77" s="714"/>
    </row>
    <row r="78" spans="1:3">
      <c r="A78" s="714"/>
    </row>
    <row r="79" spans="1:3">
      <c r="A79" s="714"/>
    </row>
    <row r="80" spans="1:3">
      <c r="A80" s="714"/>
    </row>
    <row r="81" spans="1:1">
      <c r="A81" s="714"/>
    </row>
    <row r="82" spans="1:1">
      <c r="A82" s="714"/>
    </row>
    <row r="83" spans="1:1">
      <c r="A83" s="714"/>
    </row>
    <row r="84" spans="1:1">
      <c r="A84" s="714"/>
    </row>
    <row r="85" spans="1:1">
      <c r="A85" s="714"/>
    </row>
    <row r="86" spans="1:1">
      <c r="A86" s="714"/>
    </row>
    <row r="87" spans="1:1">
      <c r="A87" s="714"/>
    </row>
    <row r="88" spans="1:1">
      <c r="A88" s="714"/>
    </row>
    <row r="89" spans="1:1">
      <c r="A89" s="714"/>
    </row>
    <row r="90" spans="1:1">
      <c r="A90" s="714"/>
    </row>
    <row r="91" spans="1:1">
      <c r="A91" s="714"/>
    </row>
    <row r="92" spans="1:1">
      <c r="A92" s="714"/>
    </row>
    <row r="93" spans="1:1">
      <c r="A93" s="714"/>
    </row>
    <row r="94" spans="1:1">
      <c r="A94" s="714"/>
    </row>
    <row r="95" spans="1:1">
      <c r="A95" s="714"/>
    </row>
    <row r="96" spans="1:1">
      <c r="A96" s="714"/>
    </row>
    <row r="97" spans="1:1">
      <c r="A97" s="714"/>
    </row>
    <row r="98" spans="1:1">
      <c r="A98" s="714"/>
    </row>
    <row r="99" spans="1:1">
      <c r="A99" s="714"/>
    </row>
    <row r="100" spans="1:1">
      <c r="A100" s="714"/>
    </row>
    <row r="101" spans="1:1">
      <c r="A101" s="714"/>
    </row>
    <row r="102" spans="1:1">
      <c r="A102" s="714"/>
    </row>
    <row r="103" spans="1:1">
      <c r="A103" s="714"/>
    </row>
  </sheetData>
  <mergeCells count="32">
    <mergeCell ref="A11:A14"/>
    <mergeCell ref="C11:C14"/>
    <mergeCell ref="A2:A5"/>
    <mergeCell ref="C2:C5"/>
    <mergeCell ref="A6:A8"/>
    <mergeCell ref="C6:C8"/>
    <mergeCell ref="C9:C10"/>
    <mergeCell ref="A9:A10"/>
    <mergeCell ref="A15:A16"/>
    <mergeCell ref="C15:C16"/>
    <mergeCell ref="A22:A23"/>
    <mergeCell ref="C22:C23"/>
    <mergeCell ref="A34:A38"/>
    <mergeCell ref="B36:B38"/>
    <mergeCell ref="C34:C38"/>
    <mergeCell ref="A29:A33"/>
    <mergeCell ref="B32:B33"/>
    <mergeCell ref="C29:C33"/>
    <mergeCell ref="A24:A28"/>
    <mergeCell ref="C24:C28"/>
    <mergeCell ref="A20:A21"/>
    <mergeCell ref="C20:C21"/>
    <mergeCell ref="A41:A42"/>
    <mergeCell ref="C41:C42"/>
    <mergeCell ref="A39:A40"/>
    <mergeCell ref="C39:C40"/>
    <mergeCell ref="A53:A54"/>
    <mergeCell ref="C53:C54"/>
    <mergeCell ref="C51:C52"/>
    <mergeCell ref="A51:A52"/>
    <mergeCell ref="A43:A49"/>
    <mergeCell ref="C43:C49"/>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workbookViewId="0">
      <selection activeCell="B26" sqref="B26"/>
    </sheetView>
  </sheetViews>
  <sheetFormatPr defaultColWidth="9.140625" defaultRowHeight="12.75"/>
  <cols>
    <col min="1" max="1" width="44.42578125" style="119" bestFit="1" customWidth="1"/>
    <col min="2" max="2" width="10.7109375" style="41" customWidth="1"/>
    <col min="3" max="3" width="10.7109375" style="112" customWidth="1"/>
    <col min="4" max="4" width="10.7109375" style="120" customWidth="1"/>
    <col min="5" max="5" width="12.85546875" style="41" customWidth="1"/>
    <col min="6" max="8" width="10.7109375" style="41" customWidth="1"/>
    <col min="9" max="9" width="13.5703125" style="41" customWidth="1"/>
    <col min="10" max="10" width="10.7109375" style="41" customWidth="1"/>
    <col min="11" max="16384" width="9.140625" style="41"/>
  </cols>
  <sheetData>
    <row r="1" spans="1:13" ht="21">
      <c r="A1" s="153" t="s">
        <v>208</v>
      </c>
      <c r="B1" s="152"/>
      <c r="C1" s="152"/>
      <c r="D1" s="152"/>
      <c r="E1" s="160">
        <f ca="1">+NOW()</f>
        <v>45944.474520023148</v>
      </c>
      <c r="F1" s="160"/>
      <c r="G1" s="160"/>
      <c r="H1" s="160"/>
      <c r="I1" s="160"/>
      <c r="J1" s="366"/>
    </row>
    <row r="2" spans="1:13" ht="15" customHeight="1">
      <c r="A2" s="154"/>
      <c r="B2" s="155"/>
      <c r="C2" s="156"/>
      <c r="D2" s="157"/>
      <c r="E2" s="158"/>
      <c r="F2" s="158"/>
      <c r="G2" s="158"/>
      <c r="H2" s="158"/>
      <c r="I2" s="158"/>
      <c r="J2" s="158"/>
    </row>
    <row r="3" spans="1:13" ht="13.5" thickBot="1">
      <c r="A3" s="119" t="s">
        <v>352</v>
      </c>
      <c r="B3" s="119">
        <f>+Worksheet!C8</f>
        <v>0</v>
      </c>
      <c r="C3" s="900">
        <f>+Worksheet!B4</f>
        <v>0</v>
      </c>
      <c r="D3" s="901"/>
      <c r="E3" s="159"/>
      <c r="F3" s="159"/>
      <c r="G3" s="159"/>
      <c r="H3" s="159"/>
      <c r="I3" s="159"/>
      <c r="J3" s="159"/>
    </row>
    <row r="4" spans="1:13" ht="15">
      <c r="A4" s="650" t="s">
        <v>353</v>
      </c>
      <c r="B4" s="902" t="s">
        <v>354</v>
      </c>
      <c r="C4" s="903"/>
      <c r="D4" s="903"/>
      <c r="E4" s="903"/>
      <c r="F4" s="902" t="s">
        <v>355</v>
      </c>
      <c r="G4" s="903"/>
      <c r="H4" s="903"/>
      <c r="I4" s="904"/>
      <c r="L4" s="121" t="s">
        <v>356</v>
      </c>
      <c r="M4" s="122"/>
    </row>
    <row r="5" spans="1:13" ht="15">
      <c r="A5" s="914" t="s">
        <v>357</v>
      </c>
      <c r="B5" s="616" t="s">
        <v>358</v>
      </c>
      <c r="C5" s="617" t="s">
        <v>359</v>
      </c>
      <c r="D5" s="618" t="s">
        <v>360</v>
      </c>
      <c r="E5" s="619">
        <f>D6</f>
        <v>1</v>
      </c>
      <c r="F5" s="616" t="s">
        <v>358</v>
      </c>
      <c r="G5" s="617" t="s">
        <v>359</v>
      </c>
      <c r="H5" s="620" t="s">
        <v>360</v>
      </c>
      <c r="I5" s="621">
        <f>H6</f>
        <v>1</v>
      </c>
      <c r="J5" s="381"/>
      <c r="L5" s="123" t="s">
        <v>209</v>
      </c>
      <c r="M5" s="124" t="s">
        <v>210</v>
      </c>
    </row>
    <row r="6" spans="1:13" ht="20.100000000000001" customHeight="1">
      <c r="A6" s="915"/>
      <c r="B6" s="622">
        <v>1</v>
      </c>
      <c r="C6" s="623" t="s">
        <v>212</v>
      </c>
      <c r="D6" s="624">
        <f t="shared" ref="D6" si="0">+IF(C6="",B6*0,IF(C6="A",B6/12,IF(C6="H",B6/6,IF(C6="Q",B6/3,IF(C6="M",B6,IF(C6="B",B6*2,IF(C6="F",B6*26/12,IF(C6="W",B6*52/12))))))))*E6</f>
        <v>1</v>
      </c>
      <c r="E6" s="625">
        <f t="shared" ref="E6" si="1">+IF(B6&gt;0,IF(C6="","error",1))</f>
        <v>1</v>
      </c>
      <c r="F6" s="622">
        <v>1</v>
      </c>
      <c r="G6" s="623" t="s">
        <v>212</v>
      </c>
      <c r="H6" s="624">
        <f t="shared" ref="H6" si="2">+IF(G6="",F6*0,IF(G6="A",F6/12,IF(G6="H",F6/6,IF(G6="Q",F6/3,IF(G6="M",F6,IF(G6="B",F6*2,IF(G6="F",F6*26/12,IF(G6="W",F6*52/12))))))))*I6</f>
        <v>1</v>
      </c>
      <c r="I6" s="626">
        <f t="shared" ref="I6" si="3">+IF(F6&gt;0,IF(G6="","error",1))</f>
        <v>1</v>
      </c>
      <c r="J6" s="130"/>
      <c r="L6" s="123" t="s">
        <v>213</v>
      </c>
      <c r="M6" s="124" t="s">
        <v>214</v>
      </c>
    </row>
    <row r="7" spans="1:13" ht="15">
      <c r="A7" s="914" t="s">
        <v>361</v>
      </c>
      <c r="B7" s="616" t="s">
        <v>358</v>
      </c>
      <c r="C7" s="627" t="s">
        <v>359</v>
      </c>
      <c r="D7" s="620" t="s">
        <v>360</v>
      </c>
      <c r="E7" s="619">
        <f>D8</f>
        <v>0</v>
      </c>
      <c r="F7" s="628" t="s">
        <v>358</v>
      </c>
      <c r="G7" s="629" t="s">
        <v>359</v>
      </c>
      <c r="H7" s="620" t="s">
        <v>360</v>
      </c>
      <c r="I7" s="621">
        <f>H8</f>
        <v>0</v>
      </c>
      <c r="J7" s="381"/>
      <c r="L7" s="123" t="s">
        <v>217</v>
      </c>
      <c r="M7" s="124" t="s">
        <v>218</v>
      </c>
    </row>
    <row r="8" spans="1:13" ht="20.100000000000001" customHeight="1">
      <c r="A8" s="915"/>
      <c r="B8" s="630"/>
      <c r="C8" s="631" t="s">
        <v>212</v>
      </c>
      <c r="D8" s="632">
        <f>+IF(C8="",B8*0,IF(C8="A",B8/12,IF(C8="H",B8/6,IF(C8="Q",B8/3,IF(C8="M",B8,IF(C8="B",B8*2,IF(C8="F",B8*26/12,IF(C8="W",B8*52/12))))))))*E8</f>
        <v>0</v>
      </c>
      <c r="E8" s="625" t="b">
        <f t="shared" ref="E8" si="4">+IF(B8&gt;0,IF(C8="","error",1))</f>
        <v>0</v>
      </c>
      <c r="F8" s="633"/>
      <c r="G8" s="634" t="s">
        <v>212</v>
      </c>
      <c r="H8" s="635">
        <f>+IF(G8="",F8*0,IF(G8="A",F8/12,IF(G8="H",F8/6,IF(G8="Q",F8/3,IF(G8="M",F8,IF(G8="B",F8*2,IF(G8="F",F8*26/12,IF(G8="W",F8*52/12))))))))*I8</f>
        <v>0</v>
      </c>
      <c r="I8" s="626" t="b">
        <f t="shared" ref="I8" si="5">+IF(F8&gt;0,IF(G8="","error",1))</f>
        <v>0</v>
      </c>
      <c r="J8" s="130"/>
      <c r="L8" s="123" t="s">
        <v>360</v>
      </c>
      <c r="M8" s="124" t="s">
        <v>212</v>
      </c>
    </row>
    <row r="9" spans="1:13" ht="15">
      <c r="A9" s="914" t="s">
        <v>362</v>
      </c>
      <c r="B9" s="616" t="s">
        <v>358</v>
      </c>
      <c r="C9" s="627" t="s">
        <v>359</v>
      </c>
      <c r="D9" s="620" t="s">
        <v>360</v>
      </c>
      <c r="E9" s="619">
        <f>D10</f>
        <v>0</v>
      </c>
      <c r="F9" s="616" t="s">
        <v>358</v>
      </c>
      <c r="G9" s="617" t="s">
        <v>359</v>
      </c>
      <c r="H9" s="620" t="s">
        <v>360</v>
      </c>
      <c r="I9" s="621">
        <f>H10</f>
        <v>0</v>
      </c>
      <c r="J9" s="381"/>
      <c r="L9" s="123" t="s">
        <v>363</v>
      </c>
      <c r="M9" s="124" t="s">
        <v>216</v>
      </c>
    </row>
    <row r="10" spans="1:13" ht="20.100000000000001" customHeight="1">
      <c r="A10" s="915"/>
      <c r="B10" s="630"/>
      <c r="C10" s="631" t="s">
        <v>212</v>
      </c>
      <c r="D10" s="632">
        <f>+IF(C10="",B10*0,IF(C10="A",B10/12,IF(C10="H",B10/6,IF(C10="Q",B10/3,IF(C10="M",B10,IF(C10="B",B10*2,IF(C10="F",B10*26/12,IF(C10="W",B10*52/12))))))))*E10</f>
        <v>0</v>
      </c>
      <c r="E10" s="625" t="b">
        <f t="shared" ref="E10" si="6">+IF(B10&gt;0,IF(C10="","error",1))</f>
        <v>0</v>
      </c>
      <c r="F10" s="630"/>
      <c r="G10" s="636" t="s">
        <v>212</v>
      </c>
      <c r="H10" s="632">
        <f>+IF(G10="",F10*0,IF(G10="A",F10/12,IF(G10="H",F10/6,IF(G10="Q",F10/3,IF(G10="M",F10,IF(G10="B",F10*2,IF(G10="F",F10*26/12,IF(G10="W",F10*52/12))))))))*I10</f>
        <v>0</v>
      </c>
      <c r="I10" s="626" t="b">
        <f t="shared" ref="I10" si="7">+IF(F10&gt;0,IF(G10="","error",1))</f>
        <v>0</v>
      </c>
      <c r="J10" s="130"/>
      <c r="L10" s="123" t="s">
        <v>364</v>
      </c>
      <c r="M10" s="124" t="s">
        <v>220</v>
      </c>
    </row>
    <row r="11" spans="1:13" ht="15.75" thickBot="1">
      <c r="A11" s="916" t="s">
        <v>365</v>
      </c>
      <c r="B11" s="616" t="s">
        <v>358</v>
      </c>
      <c r="C11" s="617" t="s">
        <v>359</v>
      </c>
      <c r="D11" s="620" t="s">
        <v>360</v>
      </c>
      <c r="E11" s="619">
        <f>D12</f>
        <v>0</v>
      </c>
      <c r="F11" s="616" t="s">
        <v>358</v>
      </c>
      <c r="G11" s="617" t="s">
        <v>359</v>
      </c>
      <c r="H11" s="620" t="s">
        <v>360</v>
      </c>
      <c r="I11" s="621">
        <f>H12</f>
        <v>0</v>
      </c>
      <c r="J11" s="381"/>
      <c r="L11" s="125" t="s">
        <v>366</v>
      </c>
      <c r="M11" s="126" t="s">
        <v>222</v>
      </c>
    </row>
    <row r="12" spans="1:13" ht="20.100000000000001" customHeight="1">
      <c r="A12" s="917"/>
      <c r="B12" s="630"/>
      <c r="C12" s="631" t="s">
        <v>212</v>
      </c>
      <c r="D12" s="632">
        <f>+IF(C12="",B12*0,IF(C12="A",B12/12,IF(C12="H",B12/6,IF(C12="Q",B12/3,IF(C12="M",B12,IF(C12="B",B12*2,IF(C12="F",B12*26/12,IF(C12="W",B12*52/12))))))))*E12</f>
        <v>0</v>
      </c>
      <c r="E12" s="625" t="b">
        <f t="shared" ref="E12" si="8">+IF(B12&gt;0,IF(C12="","error",1))</f>
        <v>0</v>
      </c>
      <c r="F12" s="630"/>
      <c r="G12" s="636" t="s">
        <v>212</v>
      </c>
      <c r="H12" s="632">
        <f>+IF(G12="",F12*0,IF(G12="A",F12/12,IF(G12="H",F12/6,IF(G12="Q",F12/3,IF(G12="M",F12,IF(G12="B",F12*2,IF(G12="F",F12*26/12,IF(G12="W",F12*52/12))))))))*I12</f>
        <v>0</v>
      </c>
      <c r="I12" s="626" t="b">
        <f t="shared" ref="I12" si="9">+IF(F12&gt;0,IF(G12="","error",1))</f>
        <v>0</v>
      </c>
      <c r="J12" s="130"/>
    </row>
    <row r="13" spans="1:13" ht="15">
      <c r="A13" s="914" t="s">
        <v>367</v>
      </c>
      <c r="B13" s="616" t="s">
        <v>358</v>
      </c>
      <c r="C13" s="627" t="s">
        <v>359</v>
      </c>
      <c r="D13" s="620" t="s">
        <v>360</v>
      </c>
      <c r="E13" s="619">
        <f>D14</f>
        <v>0</v>
      </c>
      <c r="F13" s="616" t="s">
        <v>358</v>
      </c>
      <c r="G13" s="617" t="s">
        <v>359</v>
      </c>
      <c r="H13" s="620" t="s">
        <v>360</v>
      </c>
      <c r="I13" s="621">
        <f>H14</f>
        <v>0</v>
      </c>
      <c r="J13" s="381"/>
    </row>
    <row r="14" spans="1:13" ht="20.100000000000001" customHeight="1">
      <c r="A14" s="915"/>
      <c r="B14" s="630"/>
      <c r="C14" s="637" t="s">
        <v>212</v>
      </c>
      <c r="D14" s="632">
        <f>+IF(C14="",B14*0,IF(C14="A",B14/12,IF(C14="H",B14/6,IF(C14="Q",B14/3,IF(C14="M",B14,IF(C14="B",B14*2,IF(C14="F",B14*26/12,IF(C14="W",B14*52/12))))))))*E14</f>
        <v>0</v>
      </c>
      <c r="E14" s="625" t="b">
        <f t="shared" ref="E14" si="10">+IF(B14&gt;0,IF(C14="","error",1))</f>
        <v>0</v>
      </c>
      <c r="F14" s="630"/>
      <c r="G14" s="631" t="s">
        <v>212</v>
      </c>
      <c r="H14" s="632">
        <f>+IF(G14="",F14*0,IF(G14="A",F14/12,IF(G14="H",F14/6,IF(G14="Q",F14/3,IF(G14="M",F14,IF(G14="B",F14*2,IF(G14="F",F14*26/12,IF(G14="W",F14*52/12))))))))*I14</f>
        <v>0</v>
      </c>
      <c r="I14" s="626" t="b">
        <f t="shared" ref="I14" si="11">+IF(F14&gt;0,IF(G14="","error",1))</f>
        <v>0</v>
      </c>
      <c r="J14" s="130"/>
    </row>
    <row r="15" spans="1:13" ht="14.1" customHeight="1">
      <c r="A15" s="918" t="s">
        <v>368</v>
      </c>
      <c r="B15" s="616" t="s">
        <v>358</v>
      </c>
      <c r="C15" s="627" t="s">
        <v>359</v>
      </c>
      <c r="D15" s="620" t="s">
        <v>360</v>
      </c>
      <c r="E15" s="619">
        <f>D16</f>
        <v>0</v>
      </c>
      <c r="F15" s="616" t="s">
        <v>358</v>
      </c>
      <c r="G15" s="617" t="s">
        <v>359</v>
      </c>
      <c r="H15" s="620" t="s">
        <v>360</v>
      </c>
      <c r="I15" s="621">
        <f>H16</f>
        <v>0</v>
      </c>
      <c r="J15" s="381"/>
    </row>
    <row r="16" spans="1:13" ht="20.100000000000001" customHeight="1">
      <c r="A16" s="919"/>
      <c r="B16" s="630"/>
      <c r="C16" s="631" t="s">
        <v>212</v>
      </c>
      <c r="D16" s="632">
        <f>+IF(C16="",B16*0,IF(C16="A",B16/12,IF(C16="H",B16/6,IF(C16="Q",B16/3,IF(C16="M",B16,IF(C16="B",B16*2,IF(C16="F",B16*26/12,IF(C16="W",B16*52/12))))))))*E16</f>
        <v>0</v>
      </c>
      <c r="E16" s="625" t="b">
        <f t="shared" ref="E16" si="12">+IF(B16&gt;0,IF(C16="","error",1))</f>
        <v>0</v>
      </c>
      <c r="F16" s="630"/>
      <c r="G16" s="636" t="s">
        <v>212</v>
      </c>
      <c r="H16" s="632">
        <f>+IF(G16="",F16*0,IF(G16="A",F16/12,IF(G16="H",F16/6,IF(G16="Q",F16/3,IF(G16="M",F16,IF(G16="B",F16*2,IF(G16="F",F16*26/12,IF(G16="W",F16*52/12))))))))*I16</f>
        <v>0</v>
      </c>
      <c r="I16" s="626" t="b">
        <f t="shared" ref="I16" si="13">+IF(F16&gt;0,IF(G16="","error",1))</f>
        <v>0</v>
      </c>
      <c r="J16" s="130"/>
    </row>
    <row r="17" spans="1:10" ht="15">
      <c r="A17" s="918" t="s">
        <v>369</v>
      </c>
      <c r="B17" s="616" t="s">
        <v>358</v>
      </c>
      <c r="C17" s="627" t="s">
        <v>359</v>
      </c>
      <c r="D17" s="620" t="s">
        <v>360</v>
      </c>
      <c r="E17" s="619">
        <f>D18</f>
        <v>0</v>
      </c>
      <c r="F17" s="616" t="s">
        <v>358</v>
      </c>
      <c r="G17" s="617" t="s">
        <v>359</v>
      </c>
      <c r="H17" s="620" t="s">
        <v>360</v>
      </c>
      <c r="I17" s="621">
        <f>H18</f>
        <v>0</v>
      </c>
      <c r="J17" s="381"/>
    </row>
    <row r="18" spans="1:10" ht="20.100000000000001" customHeight="1">
      <c r="A18" s="919"/>
      <c r="B18" s="630"/>
      <c r="C18" s="631" t="s">
        <v>212</v>
      </c>
      <c r="D18" s="632">
        <f>+IF(C18="",B18*0,IF(C18="A",B18/12,IF(C18="H",B18/6,IF(C18="Q",B18/3,IF(C18="M",B18,IF(C18="B",B18*2,IF(C18="F",B18*26/12,IF(C18="W",B18*52/12))))))))*E18</f>
        <v>0</v>
      </c>
      <c r="E18" s="625" t="b">
        <f t="shared" ref="E18" si="14">+IF(B18&gt;0,IF(C18="","error",1))</f>
        <v>0</v>
      </c>
      <c r="F18" s="630"/>
      <c r="G18" s="636" t="s">
        <v>212</v>
      </c>
      <c r="H18" s="632">
        <f>+IF(G18="",F18*0,IF(G18="A",F18/12,IF(G18="H",F18/6,IF(G18="Q",F18/3,IF(G18="M",F18,IF(G18="B",F18*2,IF(G18="F",F18*26/12,IF(G18="W",F18*52/12))))))))*I18</f>
        <v>0</v>
      </c>
      <c r="I18" s="626" t="b">
        <f t="shared" ref="I18" si="15">+IF(F18&gt;0,IF(G18="","error",1))</f>
        <v>0</v>
      </c>
      <c r="J18" s="130"/>
    </row>
    <row r="19" spans="1:10" ht="15">
      <c r="A19" s="918" t="s">
        <v>370</v>
      </c>
      <c r="B19" s="616" t="s">
        <v>358</v>
      </c>
      <c r="C19" s="627" t="s">
        <v>359</v>
      </c>
      <c r="D19" s="620" t="s">
        <v>360</v>
      </c>
      <c r="E19" s="619">
        <f>D20</f>
        <v>0</v>
      </c>
      <c r="F19" s="616" t="s">
        <v>358</v>
      </c>
      <c r="G19" s="617" t="s">
        <v>359</v>
      </c>
      <c r="H19" s="620" t="s">
        <v>360</v>
      </c>
      <c r="I19" s="621">
        <f>H20</f>
        <v>0</v>
      </c>
      <c r="J19" s="112"/>
    </row>
    <row r="20" spans="1:10" ht="20.100000000000001" customHeight="1">
      <c r="A20" s="919"/>
      <c r="B20" s="630"/>
      <c r="C20" s="631" t="s">
        <v>212</v>
      </c>
      <c r="D20" s="632">
        <f>+IF(C20="",B20*0,IF(C20="A",B20/12,IF(C20="H",B20/6,IF(C20="Q",B20/3,IF(C20="M",B20,IF(C20="B",B20*2,IF(C20="F",B20*26/12,IF(C20="W",B20*52/12))))))))*E20</f>
        <v>0</v>
      </c>
      <c r="E20" s="625" t="b">
        <f t="shared" ref="E20" si="16">+IF(B20&gt;0,IF(C20="","error",1))</f>
        <v>0</v>
      </c>
      <c r="F20" s="630"/>
      <c r="G20" s="636" t="s">
        <v>212</v>
      </c>
      <c r="H20" s="632">
        <f>+IF(G20="",F20*0,IF(G20="A",F20/12,IF(G20="H",F20/6,IF(G20="Q",F20/3,IF(G20="M",F20,IF(G20="B",F20*2,IF(G20="F",F20*26/12,IF(G20="W",F20*52/12))))))))*I20</f>
        <v>0</v>
      </c>
      <c r="I20" s="626" t="b">
        <f t="shared" ref="I20" si="17">+IF(F20&gt;0,IF(G20="","error",1))</f>
        <v>0</v>
      </c>
      <c r="J20" s="381"/>
    </row>
    <row r="21" spans="1:10" ht="15">
      <c r="A21" s="918" t="s">
        <v>371</v>
      </c>
      <c r="B21" s="616" t="s">
        <v>358</v>
      </c>
      <c r="C21" s="627" t="s">
        <v>359</v>
      </c>
      <c r="D21" s="620" t="s">
        <v>360</v>
      </c>
      <c r="E21" s="619">
        <f>D22</f>
        <v>0</v>
      </c>
      <c r="F21" s="616" t="s">
        <v>358</v>
      </c>
      <c r="G21" s="617" t="s">
        <v>359</v>
      </c>
      <c r="H21" s="620" t="s">
        <v>360</v>
      </c>
      <c r="I21" s="621">
        <f>H22</f>
        <v>0</v>
      </c>
    </row>
    <row r="22" spans="1:10" ht="20.100000000000001" customHeight="1">
      <c r="A22" s="919"/>
      <c r="B22" s="630"/>
      <c r="C22" s="631" t="s">
        <v>212</v>
      </c>
      <c r="D22" s="632">
        <f>+IF(C22="",B22*0,IF(C22="A",B22/12,IF(C22="H",B22/6,IF(C22="Q",B22/3,IF(C22="M",B22,IF(C22="B",B22*2,IF(C22="F",B22*26/12,IF(C22="W",B22*52/12))))))))*E22</f>
        <v>0</v>
      </c>
      <c r="E22" s="625" t="b">
        <f t="shared" ref="E22" si="18">+IF(B22&gt;0,IF(C22="","error",1))</f>
        <v>0</v>
      </c>
      <c r="F22" s="630"/>
      <c r="G22" s="636" t="s">
        <v>212</v>
      </c>
      <c r="H22" s="632">
        <f>+IF(G22="",F22*0,IF(G22="A",F22/12,IF(G22="H",F22/6,IF(G22="Q",F22/3,IF(G22="M",F22,IF(G22="B",F22*2,IF(G22="F",F22*26/12,IF(G22="W",F22*52/12))))))))*I22</f>
        <v>0</v>
      </c>
      <c r="I22" s="626" t="b">
        <f t="shared" ref="I22" si="19">+IF(F22&gt;0,IF(G22="","error",1))</f>
        <v>0</v>
      </c>
    </row>
    <row r="23" spans="1:10" ht="15">
      <c r="A23" s="918" t="s">
        <v>372</v>
      </c>
      <c r="B23" s="616" t="s">
        <v>358</v>
      </c>
      <c r="C23" s="627" t="s">
        <v>359</v>
      </c>
      <c r="D23" s="620" t="s">
        <v>360</v>
      </c>
      <c r="E23" s="619">
        <f>D24</f>
        <v>0</v>
      </c>
      <c r="F23" s="616" t="s">
        <v>358</v>
      </c>
      <c r="G23" s="617" t="s">
        <v>359</v>
      </c>
      <c r="H23" s="620" t="s">
        <v>360</v>
      </c>
      <c r="I23" s="621">
        <f>H24</f>
        <v>0</v>
      </c>
    </row>
    <row r="24" spans="1:10" ht="20.100000000000001" customHeight="1">
      <c r="A24" s="919"/>
      <c r="B24" s="630"/>
      <c r="C24" s="631" t="s">
        <v>212</v>
      </c>
      <c r="D24" s="632">
        <f>+IF(C24="",B24*0,IF(C24="A",B24/12,IF(C24="H",B24/6,IF(C24="Q",B24/3,IF(C24="M",B24,IF(C24="B",B24*2,IF(C24="F",B24*26/12,IF(C24="W",B24*52/12))))))))*E24</f>
        <v>0</v>
      </c>
      <c r="E24" s="625" t="b">
        <f t="shared" ref="E24" si="20">+IF(B24&gt;0,IF(C24="","error",1))</f>
        <v>0</v>
      </c>
      <c r="F24" s="630"/>
      <c r="G24" s="636" t="s">
        <v>212</v>
      </c>
      <c r="H24" s="632">
        <f>+IF(G24="",F24*0,IF(G24="A",F24/12,IF(G24="H",F24/6,IF(G24="Q",F24/3,IF(G24="M",F24,IF(G24="B",F24*2,IF(G24="F",F24*26/12,IF(G24="W",F24*52/12))))))))*I24</f>
        <v>0</v>
      </c>
      <c r="I24" s="626" t="b">
        <f t="shared" ref="I24" si="21">+IF(F24&gt;0,IF(G24="","error",1))</f>
        <v>0</v>
      </c>
    </row>
    <row r="25" spans="1:10" ht="15">
      <c r="A25" s="918" t="s">
        <v>1614</v>
      </c>
      <c r="B25" s="616" t="s">
        <v>358</v>
      </c>
      <c r="C25" s="627" t="s">
        <v>359</v>
      </c>
      <c r="D25" s="620" t="s">
        <v>360</v>
      </c>
      <c r="E25" s="619">
        <f>D26</f>
        <v>0</v>
      </c>
      <c r="F25" s="616" t="s">
        <v>358</v>
      </c>
      <c r="G25" s="617" t="s">
        <v>359</v>
      </c>
      <c r="H25" s="620" t="s">
        <v>360</v>
      </c>
      <c r="I25" s="621">
        <f>H26</f>
        <v>0</v>
      </c>
    </row>
    <row r="26" spans="1:10" ht="20.100000000000001" customHeight="1">
      <c r="A26" s="919"/>
      <c r="B26" s="630"/>
      <c r="C26" s="631" t="s">
        <v>212</v>
      </c>
      <c r="D26" s="632">
        <f>+IF(C26="",B26*0,IF(C26="A",B26/12,IF(C26="H",B26/6,IF(C26="Q",B26/3,IF(C26="M",B26,IF(C26="B",B26*2,IF(C26="F",B26*26/12,IF(C26="W",B26*52/12))))))))*E26</f>
        <v>0</v>
      </c>
      <c r="E26" s="625" t="b">
        <f t="shared" ref="E26" si="22">+IF(B26&gt;0,IF(C26="","error",1))</f>
        <v>0</v>
      </c>
      <c r="F26" s="630"/>
      <c r="G26" s="636" t="s">
        <v>212</v>
      </c>
      <c r="H26" s="632">
        <f>+IF(G26="",F26*0,IF(G26="A",F26/12,IF(G26="H",F26/6,IF(G26="Q",F26/3,IF(G26="M",F26,IF(G26="B",F26*2,IF(G26="F",F26*26/12,IF(G26="W",F26*52/12))))))))*I26</f>
        <v>0</v>
      </c>
      <c r="I26" s="626" t="b">
        <f t="shared" ref="I26" si="23">+IF(F26&gt;0,IF(G26="","error",1))</f>
        <v>0</v>
      </c>
    </row>
    <row r="27" spans="1:10" ht="15">
      <c r="A27" s="918" t="s">
        <v>373</v>
      </c>
      <c r="B27" s="616" t="s">
        <v>358</v>
      </c>
      <c r="C27" s="627" t="s">
        <v>359</v>
      </c>
      <c r="D27" s="620" t="s">
        <v>360</v>
      </c>
      <c r="E27" s="619">
        <f>D28</f>
        <v>0</v>
      </c>
      <c r="F27" s="616" t="s">
        <v>358</v>
      </c>
      <c r="G27" s="617" t="s">
        <v>359</v>
      </c>
      <c r="H27" s="620" t="s">
        <v>360</v>
      </c>
      <c r="I27" s="621">
        <f>H28</f>
        <v>0</v>
      </c>
    </row>
    <row r="28" spans="1:10" ht="20.100000000000001" customHeight="1">
      <c r="A28" s="919"/>
      <c r="B28" s="630"/>
      <c r="C28" s="631" t="s">
        <v>212</v>
      </c>
      <c r="D28" s="632">
        <f>+IF(C28="",B28*0,IF(C28="A",B28/12,IF(C28="H",B28/6,IF(C28="Q",B28/3,IF(C28="M",B28,IF(C28="B",B28*2,IF(C28="F",B28*26/12,IF(C28="W",B28*52/12))))))))*E28</f>
        <v>0</v>
      </c>
      <c r="E28" s="625" t="b">
        <f t="shared" ref="E28" si="24">+IF(B28&gt;0,IF(C28="","error",1))</f>
        <v>0</v>
      </c>
      <c r="F28" s="630"/>
      <c r="G28" s="636" t="s">
        <v>212</v>
      </c>
      <c r="H28" s="632">
        <f>+IF(G28="",F28*0,IF(G28="A",F28/12,IF(G28="H",F28/6,IF(G28="Q",F28/3,IF(G28="M",F28,IF(G28="B",F28*2,IF(G28="F",F28*26/12,IF(G28="W",F28*52/12))))))))*I28</f>
        <v>0</v>
      </c>
      <c r="I28" s="626" t="b">
        <f t="shared" ref="I28" si="25">+IF(F28&gt;0,IF(G28="","error",1))</f>
        <v>0</v>
      </c>
    </row>
    <row r="29" spans="1:10" ht="15">
      <c r="A29" s="918" t="s">
        <v>374</v>
      </c>
      <c r="B29" s="616" t="s">
        <v>358</v>
      </c>
      <c r="C29" s="627" t="s">
        <v>359</v>
      </c>
      <c r="D29" s="620" t="s">
        <v>360</v>
      </c>
      <c r="E29" s="619">
        <f>D30</f>
        <v>0</v>
      </c>
      <c r="F29" s="616" t="s">
        <v>358</v>
      </c>
      <c r="G29" s="617" t="s">
        <v>359</v>
      </c>
      <c r="H29" s="620" t="s">
        <v>360</v>
      </c>
      <c r="I29" s="621">
        <f>H30</f>
        <v>0</v>
      </c>
    </row>
    <row r="30" spans="1:10" ht="20.100000000000001" customHeight="1">
      <c r="A30" s="919"/>
      <c r="B30" s="622"/>
      <c r="C30" s="646" t="s">
        <v>212</v>
      </c>
      <c r="D30" s="647">
        <f>+IF(C30="",B30*0,IF(C30="A",B30/12,IF(C30="H",B30/6,IF(C30="Q",B30/3,IF(C30="M",B30,IF(C30="B",B30*2,IF(C30="F",B30*26/12,IF(C30="W",B30*52/12))))))))*E30</f>
        <v>0</v>
      </c>
      <c r="E30" s="648" t="b">
        <f t="shared" ref="E30" si="26">+IF(B30&gt;0,IF(C30="","error",1))</f>
        <v>0</v>
      </c>
      <c r="F30" s="622"/>
      <c r="G30" s="623" t="s">
        <v>212</v>
      </c>
      <c r="H30" s="647">
        <f>+IF(G30="",F30*0,IF(G30="A",F30/12,IF(G30="H",F30/6,IF(G30="Q",F30/3,IF(G30="M",F30,IF(G30="B",F30*2,IF(G30="F",F30*26/12,IF(G30="W",F30*52/12))))))))*I30</f>
        <v>0</v>
      </c>
      <c r="I30" s="649" t="b">
        <f t="shared" ref="I30" si="27">+IF(F30&gt;0,IF(G30="","error",1))</f>
        <v>0</v>
      </c>
    </row>
    <row r="31" spans="1:10">
      <c r="B31" s="638"/>
      <c r="C31" s="639"/>
      <c r="D31" s="640"/>
      <c r="E31" s="641"/>
      <c r="F31" s="638"/>
      <c r="G31" s="639"/>
      <c r="H31" s="640"/>
      <c r="I31" s="642"/>
    </row>
    <row r="32" spans="1:10" ht="28.5" customHeight="1" thickBot="1">
      <c r="A32" s="118" t="s">
        <v>375</v>
      </c>
      <c r="B32" s="643" t="str">
        <f>+B4</f>
        <v>Member Declared</v>
      </c>
      <c r="C32" s="644"/>
      <c r="D32" s="645"/>
      <c r="E32" s="652">
        <f>E5+E7+E9+E11+E13+E15+E17+E19+E21+E23+E25+E27+E29</f>
        <v>1</v>
      </c>
      <c r="F32" s="643" t="str">
        <f>+F4</f>
        <v>Assessed - Statement/Proviso Review</v>
      </c>
      <c r="G32" s="644"/>
      <c r="H32" s="645"/>
      <c r="I32" s="651">
        <f>I5+I7+I9+I11+I13+I15+I17+I19+I21+I23+I25+I27+I29</f>
        <v>1</v>
      </c>
    </row>
    <row r="33" spans="1:9" ht="15">
      <c r="A33" s="118"/>
      <c r="B33" s="390"/>
      <c r="C33" s="390"/>
      <c r="D33" s="41"/>
      <c r="E33" s="381"/>
      <c r="F33" s="390"/>
      <c r="G33" s="390"/>
      <c r="I33" s="381"/>
    </row>
    <row r="34" spans="1:9" ht="13.5" thickBot="1">
      <c r="A34" s="426" t="s">
        <v>376</v>
      </c>
    </row>
    <row r="35" spans="1:9">
      <c r="A35" s="905"/>
      <c r="B35" s="906"/>
      <c r="C35" s="906"/>
      <c r="D35" s="906"/>
      <c r="E35" s="906"/>
      <c r="F35" s="906"/>
      <c r="G35" s="906"/>
      <c r="H35" s="906"/>
      <c r="I35" s="907"/>
    </row>
    <row r="36" spans="1:9">
      <c r="A36" s="908"/>
      <c r="B36" s="909"/>
      <c r="C36" s="909"/>
      <c r="D36" s="909"/>
      <c r="E36" s="909"/>
      <c r="F36" s="909"/>
      <c r="G36" s="909"/>
      <c r="H36" s="909"/>
      <c r="I36" s="910"/>
    </row>
    <row r="37" spans="1:9">
      <c r="A37" s="908"/>
      <c r="B37" s="909"/>
      <c r="C37" s="909"/>
      <c r="D37" s="909"/>
      <c r="E37" s="909"/>
      <c r="F37" s="909"/>
      <c r="G37" s="909"/>
      <c r="H37" s="909"/>
      <c r="I37" s="910"/>
    </row>
    <row r="38" spans="1:9">
      <c r="A38" s="908"/>
      <c r="B38" s="909"/>
      <c r="C38" s="909"/>
      <c r="D38" s="909"/>
      <c r="E38" s="909"/>
      <c r="F38" s="909"/>
      <c r="G38" s="909"/>
      <c r="H38" s="909"/>
      <c r="I38" s="910"/>
    </row>
    <row r="39" spans="1:9" ht="13.5" thickBot="1">
      <c r="A39" s="911"/>
      <c r="B39" s="912"/>
      <c r="C39" s="912"/>
      <c r="D39" s="912"/>
      <c r="E39" s="912"/>
      <c r="F39" s="912"/>
      <c r="G39" s="912"/>
      <c r="H39" s="912"/>
      <c r="I39" s="913"/>
    </row>
  </sheetData>
  <sheetProtection algorithmName="SHA-512" hashValue="38ibblkTrS3rXrcULQNh9Hx6M6rGJ/Te8fruy8Uy4h5+ZlOkHo/eei8b3naNSkOnUy9KQRqlp/68wwBRwUah+Q==" saltValue="BjK8e70ufVqlXkXg4mOxMQ==" spinCount="100000" sheet="1" selectLockedCells="1"/>
  <mergeCells count="17">
    <mergeCell ref="A29:A30"/>
    <mergeCell ref="C3:D3"/>
    <mergeCell ref="B4:E4"/>
    <mergeCell ref="F4:I4"/>
    <mergeCell ref="A35:I39"/>
    <mergeCell ref="A5:A6"/>
    <mergeCell ref="A7:A8"/>
    <mergeCell ref="A9:A10"/>
    <mergeCell ref="A11:A12"/>
    <mergeCell ref="A13:A14"/>
    <mergeCell ref="A15:A16"/>
    <mergeCell ref="A17:A18"/>
    <mergeCell ref="A19:A20"/>
    <mergeCell ref="A21:A22"/>
    <mergeCell ref="A23:A24"/>
    <mergeCell ref="A25:A26"/>
    <mergeCell ref="A27:A28"/>
  </mergeCells>
  <conditionalFormatting sqref="H6">
    <cfRule type="cellIs" dxfId="12" priority="45" operator="notEqual">
      <formula>$D$6</formula>
    </cfRule>
  </conditionalFormatting>
  <conditionalFormatting sqref="H8">
    <cfRule type="cellIs" dxfId="11" priority="44" operator="notEqual">
      <formula>$D$8</formula>
    </cfRule>
  </conditionalFormatting>
  <conditionalFormatting sqref="H10">
    <cfRule type="cellIs" dxfId="10" priority="41" operator="notEqual">
      <formula>$D$10</formula>
    </cfRule>
  </conditionalFormatting>
  <conditionalFormatting sqref="H12">
    <cfRule type="cellIs" dxfId="9" priority="35" operator="notEqual">
      <formula>$D$12</formula>
    </cfRule>
  </conditionalFormatting>
  <conditionalFormatting sqref="H14">
    <cfRule type="cellIs" dxfId="8" priority="16" operator="notEqual">
      <formula>$D$14</formula>
    </cfRule>
  </conditionalFormatting>
  <conditionalFormatting sqref="H16">
    <cfRule type="cellIs" dxfId="7" priority="28" operator="notEqual">
      <formula>$D$16</formula>
    </cfRule>
  </conditionalFormatting>
  <conditionalFormatting sqref="H18">
    <cfRule type="cellIs" dxfId="6" priority="23" operator="notEqual">
      <formula>$D$18</formula>
    </cfRule>
  </conditionalFormatting>
  <conditionalFormatting sqref="H20">
    <cfRule type="cellIs" dxfId="5" priority="12" operator="notEqual">
      <formula>$D$18</formula>
    </cfRule>
  </conditionalFormatting>
  <conditionalFormatting sqref="H22">
    <cfRule type="cellIs" dxfId="4" priority="5" operator="notEqual">
      <formula>$D$18</formula>
    </cfRule>
  </conditionalFormatting>
  <conditionalFormatting sqref="H24">
    <cfRule type="cellIs" dxfId="3" priority="4" operator="notEqual">
      <formula>$D$18</formula>
    </cfRule>
  </conditionalFormatting>
  <conditionalFormatting sqref="H26">
    <cfRule type="cellIs" dxfId="2" priority="3" operator="notEqual">
      <formula>$D$18</formula>
    </cfRule>
  </conditionalFormatting>
  <conditionalFormatting sqref="H28">
    <cfRule type="cellIs" dxfId="1" priority="2" operator="notEqual">
      <formula>$D$18</formula>
    </cfRule>
  </conditionalFormatting>
  <conditionalFormatting sqref="H30">
    <cfRule type="cellIs" dxfId="0" priority="1" operator="notEqual">
      <formula>$D$18</formula>
    </cfRule>
  </conditionalFormatting>
  <dataValidations count="1">
    <dataValidation type="list" allowBlank="1" showInputMessage="1" showErrorMessage="1" sqref="C8 C12 G8 C16 G10 C10 C14 G12 G14 G16 G20 C20 C22 G22 G24 C24 C26 G26 G28 C28 G30 C30 G6 C6 C18 G18" xr:uid="{00000000-0002-0000-0200-000000000000}">
      <formula1>Living_Expenses</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workbookViewId="0">
      <selection activeCell="C41" sqref="C41"/>
    </sheetView>
  </sheetViews>
  <sheetFormatPr defaultRowHeight="12.75"/>
  <cols>
    <col min="1" max="1" width="2.5703125" customWidth="1"/>
    <col min="2" max="2" width="36.7109375" customWidth="1"/>
    <col min="3" max="3" width="15.7109375" customWidth="1"/>
    <col min="4" max="4" width="22.42578125" customWidth="1"/>
    <col min="5" max="5" width="14.42578125" customWidth="1"/>
    <col min="6" max="6" width="8.42578125" style="359" customWidth="1"/>
    <col min="7" max="7" width="65.5703125" customWidth="1"/>
    <col min="9" max="9" width="8.140625" customWidth="1"/>
  </cols>
  <sheetData>
    <row r="1" spans="2:8" ht="21">
      <c r="B1" s="153" t="s">
        <v>377</v>
      </c>
      <c r="C1" s="152"/>
      <c r="D1" s="160">
        <f ca="1">+NOW()</f>
        <v>45944.47451990741</v>
      </c>
      <c r="E1" s="366"/>
      <c r="F1" s="358"/>
    </row>
    <row r="2" spans="2:8">
      <c r="B2" s="41"/>
      <c r="C2" s="41"/>
      <c r="D2" s="41"/>
      <c r="E2" s="41"/>
      <c r="F2" s="358"/>
      <c r="G2" s="41"/>
      <c r="H2" s="41"/>
    </row>
    <row r="3" spans="2:8">
      <c r="B3" s="41" t="s">
        <v>378</v>
      </c>
      <c r="C3" s="363"/>
      <c r="D3" s="41"/>
      <c r="E3" s="41"/>
      <c r="F3" s="358"/>
      <c r="G3" s="41"/>
      <c r="H3" s="41"/>
    </row>
    <row r="4" spans="2:8">
      <c r="B4" s="41" t="s">
        <v>379</v>
      </c>
      <c r="C4" s="363"/>
      <c r="D4" s="41"/>
      <c r="E4" s="41"/>
      <c r="F4" s="358"/>
      <c r="G4" s="41"/>
      <c r="H4" s="41"/>
    </row>
    <row r="5" spans="2:8">
      <c r="B5" s="41" t="s">
        <v>380</v>
      </c>
      <c r="C5" s="363"/>
      <c r="D5" s="41"/>
      <c r="E5" s="41"/>
      <c r="F5" s="358"/>
      <c r="G5" s="41"/>
      <c r="H5" s="41"/>
    </row>
    <row r="6" spans="2:8">
      <c r="B6" s="41" t="s">
        <v>381</v>
      </c>
      <c r="C6" s="363"/>
      <c r="D6" s="41"/>
      <c r="E6" s="41"/>
      <c r="F6" s="358"/>
      <c r="G6" s="41"/>
      <c r="H6" s="41"/>
    </row>
    <row r="7" spans="2:8">
      <c r="B7" s="41" t="s">
        <v>382</v>
      </c>
      <c r="C7" s="363"/>
      <c r="D7" s="41"/>
      <c r="E7" s="41"/>
      <c r="F7" s="358"/>
      <c r="G7" s="41"/>
      <c r="H7" s="41"/>
    </row>
    <row r="8" spans="2:8">
      <c r="B8" s="41" t="s">
        <v>383</v>
      </c>
      <c r="C8" s="362"/>
      <c r="D8" s="41"/>
      <c r="E8" s="41"/>
      <c r="F8" s="358"/>
      <c r="G8" s="41"/>
      <c r="H8" s="41"/>
    </row>
    <row r="9" spans="2:8">
      <c r="B9" s="41"/>
      <c r="C9" s="339"/>
      <c r="D9" s="41"/>
      <c r="E9" s="41"/>
      <c r="F9" s="358"/>
      <c r="G9" s="41"/>
      <c r="H9" s="41"/>
    </row>
    <row r="10" spans="2:8">
      <c r="B10" s="341" t="s">
        <v>384</v>
      </c>
      <c r="C10" s="339"/>
      <c r="D10" s="41"/>
      <c r="E10" s="41"/>
      <c r="F10" s="358"/>
      <c r="G10" s="41"/>
      <c r="H10" s="41"/>
    </row>
    <row r="11" spans="2:8">
      <c r="B11" s="41" t="s">
        <v>385</v>
      </c>
      <c r="C11" s="356" t="e">
        <f>+VLOOKUP(C4,RegFees,2,FALSE)</f>
        <v>#N/A</v>
      </c>
      <c r="D11" s="358" t="s">
        <v>386</v>
      </c>
      <c r="E11" s="358"/>
      <c r="F11" s="358" t="s">
        <v>387</v>
      </c>
      <c r="G11" s="342" t="s">
        <v>388</v>
      </c>
      <c r="H11" s="340"/>
    </row>
    <row r="12" spans="2:8">
      <c r="B12" s="41" t="s">
        <v>389</v>
      </c>
      <c r="C12" s="356"/>
      <c r="D12" s="358" t="s">
        <v>386</v>
      </c>
      <c r="E12" s="358"/>
      <c r="F12" s="358"/>
      <c r="G12" s="41" t="s">
        <v>390</v>
      </c>
      <c r="H12" s="41"/>
    </row>
    <row r="13" spans="2:8">
      <c r="B13" s="41" t="s">
        <v>391</v>
      </c>
      <c r="C13" s="361"/>
      <c r="D13" s="358" t="s">
        <v>392</v>
      </c>
      <c r="E13" s="358"/>
      <c r="F13" s="358"/>
      <c r="G13" s="341" t="s">
        <v>393</v>
      </c>
    </row>
    <row r="14" spans="2:8">
      <c r="F14" s="358"/>
      <c r="G14" s="41" t="s">
        <v>394</v>
      </c>
      <c r="H14" s="41"/>
    </row>
    <row r="15" spans="2:8">
      <c r="B15" s="341" t="s">
        <v>395</v>
      </c>
      <c r="C15" s="361"/>
      <c r="D15" s="358" t="s">
        <v>392</v>
      </c>
      <c r="E15" s="41"/>
      <c r="F15" s="358"/>
      <c r="G15" s="41"/>
      <c r="H15" s="41"/>
    </row>
    <row r="16" spans="2:8">
      <c r="B16" s="41"/>
      <c r="C16" s="339"/>
      <c r="D16" s="41"/>
      <c r="E16" s="41"/>
      <c r="F16" s="358"/>
      <c r="G16" s="41"/>
      <c r="H16" s="41"/>
    </row>
    <row r="17" spans="2:10">
      <c r="B17" s="341" t="s">
        <v>396</v>
      </c>
      <c r="C17" s="339"/>
      <c r="D17" s="41"/>
      <c r="E17" s="41"/>
      <c r="F17" s="358"/>
      <c r="G17" s="41"/>
      <c r="H17" s="41"/>
    </row>
    <row r="18" spans="2:10">
      <c r="B18" s="360" t="s">
        <v>397</v>
      </c>
      <c r="C18" s="339"/>
      <c r="D18" s="41"/>
      <c r="E18" s="41"/>
      <c r="F18" s="358"/>
      <c r="G18" s="41"/>
      <c r="H18" s="41"/>
    </row>
    <row r="19" spans="2:10">
      <c r="B19" s="41" t="s">
        <v>398</v>
      </c>
      <c r="C19" s="356"/>
      <c r="D19" s="41"/>
      <c r="E19" s="41"/>
      <c r="F19" s="358"/>
      <c r="G19" s="41"/>
      <c r="H19" s="41"/>
    </row>
    <row r="20" spans="2:10">
      <c r="B20" s="41" t="s">
        <v>399</v>
      </c>
      <c r="C20" s="356">
        <f>+Fees!D5</f>
        <v>0</v>
      </c>
    </row>
    <row r="21" spans="2:10">
      <c r="B21" s="41" t="s">
        <v>400</v>
      </c>
      <c r="C21" s="357">
        <f>+IF(C7="Yes",150,0)</f>
        <v>0</v>
      </c>
      <c r="D21" s="358" t="s">
        <v>401</v>
      </c>
      <c r="E21" s="358"/>
      <c r="F21" s="358"/>
      <c r="G21" s="41"/>
      <c r="H21" s="41"/>
    </row>
    <row r="22" spans="2:10">
      <c r="B22" s="41"/>
      <c r="C22" s="339">
        <f>SUM(C18:C21)</f>
        <v>0</v>
      </c>
      <c r="D22" s="41"/>
      <c r="E22" s="41"/>
      <c r="F22" s="358"/>
      <c r="G22" s="41"/>
      <c r="H22" s="41"/>
    </row>
    <row r="23" spans="2:10">
      <c r="B23" s="360" t="s">
        <v>402</v>
      </c>
      <c r="C23" s="339"/>
      <c r="D23" s="41"/>
      <c r="E23" s="41"/>
      <c r="F23" s="358"/>
      <c r="G23" s="41"/>
      <c r="H23" s="41"/>
    </row>
    <row r="24" spans="2:10">
      <c r="B24" s="41" t="s">
        <v>403</v>
      </c>
      <c r="C24" s="356">
        <f>+Fees!C19</f>
        <v>0</v>
      </c>
      <c r="D24" s="41"/>
      <c r="E24" s="41"/>
      <c r="F24" s="358" t="s">
        <v>387</v>
      </c>
      <c r="G24" s="41" t="s">
        <v>404</v>
      </c>
      <c r="H24" s="41"/>
      <c r="J24" s="342"/>
    </row>
    <row r="25" spans="2:10">
      <c r="B25" s="41" t="s">
        <v>405</v>
      </c>
      <c r="C25" s="356" t="e">
        <f>+C11*2</f>
        <v>#N/A</v>
      </c>
      <c r="D25" s="41"/>
      <c r="E25" s="41"/>
      <c r="F25" s="358"/>
      <c r="G25" s="41"/>
      <c r="H25" s="41"/>
    </row>
    <row r="26" spans="2:10">
      <c r="B26" s="41" t="s">
        <v>406</v>
      </c>
      <c r="C26" s="357">
        <f>IF(C3="Refinance",0,C12)</f>
        <v>0</v>
      </c>
      <c r="D26" s="41"/>
      <c r="E26" s="41"/>
      <c r="F26" s="358"/>
      <c r="G26" s="41"/>
      <c r="H26" s="41"/>
    </row>
    <row r="27" spans="2:10">
      <c r="B27" s="41" t="s">
        <v>407</v>
      </c>
      <c r="C27" s="356"/>
      <c r="D27" s="41"/>
      <c r="E27" s="41"/>
      <c r="F27" s="358"/>
      <c r="G27" s="41"/>
      <c r="H27" s="41"/>
    </row>
    <row r="28" spans="2:10">
      <c r="B28" s="41" t="s">
        <v>408</v>
      </c>
      <c r="C28" s="357">
        <f>+IF(C7="Yes",+C27+112.75,0)</f>
        <v>0</v>
      </c>
      <c r="D28" s="41"/>
      <c r="E28" s="41"/>
      <c r="F28" s="358"/>
      <c r="G28" s="41"/>
      <c r="H28" s="41"/>
    </row>
    <row r="29" spans="2:10">
      <c r="B29" s="41"/>
      <c r="C29" s="339" t="e">
        <f>SUM(C24:C28)</f>
        <v>#N/A</v>
      </c>
      <c r="D29" s="41"/>
      <c r="E29" s="41"/>
      <c r="F29" s="358"/>
      <c r="G29" s="41"/>
      <c r="H29" s="41"/>
    </row>
    <row r="30" spans="2:10">
      <c r="B30" s="341" t="s">
        <v>409</v>
      </c>
      <c r="C30" s="343" t="e">
        <f>+C22+C29</f>
        <v>#N/A</v>
      </c>
      <c r="D30" s="119" t="s">
        <v>410</v>
      </c>
      <c r="E30" s="41"/>
      <c r="F30" s="358"/>
      <c r="G30" s="41"/>
      <c r="H30" s="41"/>
    </row>
    <row r="31" spans="2:10">
      <c r="B31" s="341"/>
      <c r="C31" s="343"/>
      <c r="D31" s="358"/>
      <c r="E31" s="41"/>
      <c r="F31" s="358"/>
      <c r="G31" s="41"/>
      <c r="H31" s="41"/>
    </row>
    <row r="32" spans="2:10">
      <c r="B32" s="341" t="s">
        <v>411</v>
      </c>
      <c r="C32" s="343">
        <f>+Worksheet!C24*0.00625*1.1</f>
        <v>0</v>
      </c>
      <c r="D32" s="358" t="s">
        <v>412</v>
      </c>
      <c r="E32" s="41"/>
      <c r="F32" s="358"/>
      <c r="G32" s="41"/>
      <c r="H32" s="41"/>
    </row>
    <row r="33" spans="2:8">
      <c r="B33" s="41"/>
      <c r="C33" s="339"/>
      <c r="D33" s="41"/>
      <c r="E33" s="41"/>
      <c r="F33" s="358"/>
      <c r="G33" s="41"/>
      <c r="H33" s="41"/>
    </row>
    <row r="34" spans="2:8" ht="15">
      <c r="B34" s="344" t="s">
        <v>413</v>
      </c>
      <c r="C34" s="345" t="e">
        <f>+C8+C13+C15+C22+C29</f>
        <v>#N/A</v>
      </c>
      <c r="D34" s="41"/>
      <c r="E34" s="41"/>
      <c r="F34" s="358"/>
      <c r="G34" s="41"/>
      <c r="H34" s="41"/>
    </row>
    <row r="35" spans="2:8" ht="15.75" thickBot="1">
      <c r="B35" s="346"/>
      <c r="C35" s="347"/>
      <c r="D35" s="41"/>
      <c r="E35" s="41"/>
      <c r="F35" s="358"/>
      <c r="G35" s="41"/>
      <c r="H35" s="41"/>
    </row>
    <row r="36" spans="2:8" ht="15">
      <c r="B36" s="348" t="s">
        <v>414</v>
      </c>
      <c r="C36" s="349"/>
      <c r="D36" s="348" t="s">
        <v>415</v>
      </c>
      <c r="E36" s="540"/>
      <c r="F36" s="358"/>
      <c r="G36" s="41"/>
      <c r="H36" s="41"/>
    </row>
    <row r="37" spans="2:8">
      <c r="B37" s="350"/>
      <c r="C37" s="351"/>
      <c r="D37" s="350"/>
      <c r="E37" s="351"/>
      <c r="F37" s="358"/>
      <c r="G37" s="41"/>
      <c r="H37" s="41"/>
    </row>
    <row r="38" spans="2:8">
      <c r="B38" s="350" t="s">
        <v>416</v>
      </c>
      <c r="C38" s="355"/>
      <c r="D38" s="350" t="s">
        <v>417</v>
      </c>
      <c r="E38" s="541"/>
      <c r="F38" s="358"/>
      <c r="G38" s="41"/>
      <c r="H38" s="41"/>
    </row>
    <row r="39" spans="2:8">
      <c r="B39" s="350" t="s">
        <v>418</v>
      </c>
      <c r="C39" s="355"/>
      <c r="D39" s="350"/>
      <c r="E39" s="351"/>
      <c r="F39" s="358"/>
      <c r="G39" s="41"/>
      <c r="H39" s="41"/>
    </row>
    <row r="40" spans="2:8">
      <c r="B40" s="350" t="s">
        <v>419</v>
      </c>
      <c r="C40" s="355"/>
      <c r="D40" s="350" t="s">
        <v>420</v>
      </c>
      <c r="E40" s="544"/>
      <c r="F40" s="358"/>
      <c r="G40" s="41"/>
      <c r="H40" s="41"/>
    </row>
    <row r="41" spans="2:8">
      <c r="B41" s="350" t="s">
        <v>421</v>
      </c>
      <c r="C41" s="355"/>
      <c r="D41" s="350" t="s">
        <v>422</v>
      </c>
      <c r="E41" s="544"/>
      <c r="F41" s="358"/>
      <c r="G41" s="41"/>
      <c r="H41" s="41"/>
    </row>
    <row r="42" spans="2:8">
      <c r="B42" s="350" t="s">
        <v>423</v>
      </c>
      <c r="C42" s="355">
        <f>+Worksheet!C24</f>
        <v>0</v>
      </c>
      <c r="D42" s="350"/>
      <c r="E42" s="351"/>
      <c r="F42" s="358"/>
      <c r="G42" s="41"/>
      <c r="H42" s="41"/>
    </row>
    <row r="43" spans="2:8">
      <c r="B43" s="350"/>
      <c r="C43" s="352">
        <f>SUM(C38:C42)</f>
        <v>0</v>
      </c>
      <c r="D43" s="545" t="s">
        <v>424</v>
      </c>
      <c r="E43" s="542" t="str">
        <f>IF(E38=0,"",+E38+E40)</f>
        <v/>
      </c>
      <c r="F43" s="358"/>
      <c r="G43" s="41"/>
      <c r="H43" s="41"/>
    </row>
    <row r="44" spans="2:8">
      <c r="B44" s="350"/>
      <c r="C44" s="352"/>
      <c r="D44" s="350"/>
      <c r="E44" s="351"/>
      <c r="F44" s="358"/>
      <c r="G44" s="41"/>
      <c r="H44" s="41"/>
    </row>
    <row r="45" spans="2:8" ht="15.75" thickBot="1">
      <c r="B45" s="353" t="s">
        <v>425</v>
      </c>
      <c r="C45" s="354" t="e">
        <f>+C43-C34</f>
        <v>#N/A</v>
      </c>
      <c r="D45" s="546" t="s">
        <v>426</v>
      </c>
      <c r="E45" s="543" t="str">
        <f>IF(E38=0,"",+E38+E41)</f>
        <v/>
      </c>
      <c r="F45" s="358"/>
      <c r="G45" s="41"/>
      <c r="H45" s="41"/>
    </row>
    <row r="46" spans="2:8">
      <c r="B46" s="41"/>
      <c r="C46" s="343"/>
      <c r="D46" s="41"/>
      <c r="E46" s="41"/>
      <c r="F46" s="358"/>
      <c r="G46" s="41"/>
      <c r="H46" s="41"/>
    </row>
    <row r="47" spans="2:8">
      <c r="B47" s="41"/>
      <c r="C47" s="343"/>
      <c r="D47" s="41"/>
      <c r="E47" s="41"/>
      <c r="F47" s="358"/>
      <c r="G47" s="41"/>
      <c r="H47" s="41"/>
    </row>
  </sheetData>
  <sheetProtection algorithmName="SHA-512" hashValue="OcvgfkRegRqaMYWbQiBCihvGVtKMV83DdsAEtv/LSjW5lBQVFKXkmMye0/022pJ/7Y3pcdmiUTWNuEar1Bx3Lw==" saltValue="UQW0vhJJd2Jrqa1/+ljAOA==" spinCount="100000" sheet="1" selectLockedCells="1"/>
  <dataValidations count="4">
    <dataValidation type="list" allowBlank="1" showInputMessage="1" showErrorMessage="1" sqref="C3" xr:uid="{00000000-0002-0000-0300-000000000000}">
      <formula1>"Purchase,Refinance"</formula1>
    </dataValidation>
    <dataValidation type="list" allowBlank="1" showInputMessage="1" showErrorMessage="1" sqref="C4" xr:uid="{00000000-0002-0000-0300-000001000000}">
      <formula1>"ACT,NSW,NT,QLD,SA,TAS,VIC,WA"</formula1>
    </dataValidation>
    <dataValidation type="list" allowBlank="1" showInputMessage="1" showErrorMessage="1" sqref="C6:C7" xr:uid="{00000000-0002-0000-0300-000002000000}">
      <formula1>"Yes,No"</formula1>
    </dataValidation>
    <dataValidation type="list" allowBlank="1" showInputMessage="1" showErrorMessage="1" sqref="C5" xr:uid="{00000000-0002-0000-0300-000003000000}">
      <formula1>"Owner Occupied,Investment"</formula1>
    </dataValidation>
  </dataValidations>
  <hyperlinks>
    <hyperlink ref="G11" r:id="rId1" xr:uid="{00000000-0004-0000-03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A160-8A64-4082-B593-C2A40B588A77}">
  <dimension ref="A1:T62"/>
  <sheetViews>
    <sheetView topLeftCell="B1" zoomScale="110" zoomScaleNormal="110" workbookViewId="0">
      <selection activeCell="C5" sqref="C5"/>
    </sheetView>
  </sheetViews>
  <sheetFormatPr defaultColWidth="9.140625" defaultRowHeight="12"/>
  <cols>
    <col min="1" max="1" width="4.5703125" style="452" customWidth="1"/>
    <col min="2" max="2" width="34.140625" style="452" customWidth="1"/>
    <col min="3" max="3" width="15.140625" style="452" customWidth="1"/>
    <col min="4" max="4" width="19.42578125" style="452" customWidth="1"/>
    <col min="5" max="5" width="3" style="452" customWidth="1"/>
    <col min="6" max="6" width="20.140625" style="452" customWidth="1"/>
    <col min="7" max="7" width="13.7109375" style="452" customWidth="1"/>
    <col min="8" max="8" width="9.140625" style="452"/>
    <col min="9" max="9" width="11.140625" style="452" customWidth="1"/>
    <col min="10" max="10" width="2.85546875" style="452" customWidth="1"/>
    <col min="11" max="11" width="34.85546875" style="452" customWidth="1"/>
    <col min="12" max="12" width="10.42578125" style="475" customWidth="1"/>
    <col min="13" max="13" width="21.28515625" style="452" customWidth="1"/>
    <col min="14" max="14" width="41.28515625" style="452" customWidth="1"/>
    <col min="15" max="15" width="17.28515625" style="452" customWidth="1"/>
    <col min="16" max="16" width="19.85546875" style="452" customWidth="1"/>
    <col min="17" max="17" width="16.85546875" style="452" customWidth="1"/>
    <col min="18" max="16384" width="9.140625" style="452"/>
  </cols>
  <sheetData>
    <row r="1" spans="1:20">
      <c r="A1" s="451" t="s">
        <v>427</v>
      </c>
      <c r="B1" s="450"/>
      <c r="C1" s="450"/>
      <c r="D1" s="450"/>
      <c r="E1" s="450"/>
      <c r="F1" s="450"/>
      <c r="G1" s="450"/>
      <c r="H1" s="450"/>
      <c r="I1" s="450"/>
      <c r="J1" s="450"/>
      <c r="K1" s="528"/>
      <c r="P1" s="453"/>
      <c r="Q1" s="454"/>
      <c r="R1" s="454"/>
      <c r="S1" s="453"/>
      <c r="T1" s="453"/>
    </row>
    <row r="2" spans="1:20" ht="12.75" thickBot="1">
      <c r="A2" s="455"/>
      <c r="B2" s="455"/>
      <c r="C2" s="455"/>
      <c r="D2" s="455"/>
      <c r="E2" s="455"/>
      <c r="F2" s="455"/>
      <c r="G2" s="455"/>
      <c r="H2" s="455"/>
      <c r="I2" s="455"/>
      <c r="J2" s="455"/>
      <c r="K2" s="455"/>
      <c r="P2" s="453"/>
      <c r="Q2" s="456" t="s">
        <v>428</v>
      </c>
      <c r="R2" s="457">
        <v>0</v>
      </c>
      <c r="S2" s="458"/>
      <c r="T2" s="453"/>
    </row>
    <row r="3" spans="1:20">
      <c r="B3" s="502" t="s">
        <v>429</v>
      </c>
      <c r="C3" s="516"/>
      <c r="D3" s="503"/>
      <c r="E3" s="455"/>
      <c r="F3" s="502" t="s">
        <v>430</v>
      </c>
      <c r="G3" s="509"/>
      <c r="H3" s="509"/>
      <c r="I3" s="503"/>
      <c r="J3" s="455"/>
      <c r="K3" s="531" t="s">
        <v>431</v>
      </c>
      <c r="L3" s="532"/>
      <c r="P3" s="453"/>
      <c r="Q3" s="456" t="s">
        <v>432</v>
      </c>
      <c r="R3" s="457">
        <v>195</v>
      </c>
      <c r="S3" s="458"/>
      <c r="T3" s="453"/>
    </row>
    <row r="4" spans="1:20">
      <c r="A4" s="455"/>
      <c r="B4" s="505"/>
      <c r="C4" s="455"/>
      <c r="D4" s="504"/>
      <c r="E4" s="455"/>
      <c r="F4" s="519"/>
      <c r="G4" s="455"/>
      <c r="H4" s="455"/>
      <c r="I4" s="504"/>
      <c r="J4" s="455"/>
      <c r="K4" s="505"/>
      <c r="L4" s="533"/>
      <c r="P4" s="453"/>
      <c r="Q4" s="456" t="s">
        <v>433</v>
      </c>
      <c r="R4" s="457">
        <v>146.4</v>
      </c>
      <c r="S4" s="458"/>
      <c r="T4" s="453"/>
    </row>
    <row r="5" spans="1:20">
      <c r="A5" s="455"/>
      <c r="B5" s="505" t="s">
        <v>434</v>
      </c>
      <c r="C5" s="518" t="s">
        <v>435</v>
      </c>
      <c r="D5" s="524">
        <f>VLOOKUP(C5, Q14:R26, 2, FALSE)</f>
        <v>0</v>
      </c>
      <c r="E5" s="455"/>
      <c r="F5" s="505" t="s">
        <v>379</v>
      </c>
      <c r="G5" s="518" t="s">
        <v>428</v>
      </c>
      <c r="H5" s="526" t="e">
        <f>+VLOOKUP(G5,RegFees,2,FALSE)</f>
        <v>#N/A</v>
      </c>
      <c r="I5" s="504"/>
      <c r="J5" s="455"/>
      <c r="K5" s="505" t="s">
        <v>436</v>
      </c>
      <c r="L5" s="533"/>
      <c r="P5" s="453"/>
      <c r="Q5" s="456" t="s">
        <v>437</v>
      </c>
      <c r="R5" s="457">
        <v>110.8</v>
      </c>
      <c r="S5" s="458"/>
      <c r="T5" s="453"/>
    </row>
    <row r="6" spans="1:20" ht="12.75" thickBot="1">
      <c r="A6" s="455"/>
      <c r="B6" s="506"/>
      <c r="C6" s="517"/>
      <c r="D6" s="511"/>
      <c r="E6" s="455"/>
      <c r="F6" s="505" t="s">
        <v>438</v>
      </c>
      <c r="G6" s="525" t="s">
        <v>439</v>
      </c>
      <c r="H6" s="455"/>
      <c r="I6" s="504"/>
      <c r="J6" s="455"/>
      <c r="K6" s="505" t="s">
        <v>440</v>
      </c>
      <c r="L6" s="534">
        <f>+Worksheet!C44*12</f>
        <v>0</v>
      </c>
      <c r="P6" s="453"/>
      <c r="Q6" s="456" t="s">
        <v>441</v>
      </c>
      <c r="R6" s="457">
        <v>153</v>
      </c>
      <c r="S6" s="458"/>
      <c r="T6" s="453"/>
    </row>
    <row r="7" spans="1:20" ht="12.75" thickBot="1">
      <c r="A7" s="455"/>
      <c r="B7" s="455"/>
      <c r="C7" s="455"/>
      <c r="D7" s="455"/>
      <c r="E7" s="455"/>
      <c r="F7" s="505"/>
      <c r="G7" s="455"/>
      <c r="H7" s="455"/>
      <c r="I7" s="504"/>
      <c r="J7" s="455"/>
      <c r="K7" s="505"/>
      <c r="L7" s="533"/>
      <c r="P7" s="453"/>
      <c r="Q7" s="456" t="s">
        <v>442</v>
      </c>
      <c r="R7" s="457">
        <v>149</v>
      </c>
      <c r="S7" s="458"/>
      <c r="T7" s="453"/>
    </row>
    <row r="8" spans="1:20">
      <c r="B8" s="502" t="s">
        <v>443</v>
      </c>
      <c r="C8" s="509"/>
      <c r="D8" s="503"/>
      <c r="E8" s="455"/>
      <c r="F8" s="505" t="s">
        <v>444</v>
      </c>
      <c r="G8" s="550">
        <v>0</v>
      </c>
      <c r="H8" s="507" t="s">
        <v>445</v>
      </c>
      <c r="I8" s="520"/>
      <c r="J8" s="507"/>
      <c r="K8" s="505" t="s">
        <v>446</v>
      </c>
      <c r="L8" s="535">
        <f>+VLOOKUP(L6,HELP_Table_2020_21,2,TRUE)</f>
        <v>0</v>
      </c>
      <c r="P8" s="453"/>
      <c r="Q8" s="456" t="s">
        <v>447</v>
      </c>
      <c r="R8" s="457">
        <v>173</v>
      </c>
      <c r="S8" s="458"/>
      <c r="T8" s="453"/>
    </row>
    <row r="9" spans="1:20">
      <c r="A9" s="455"/>
      <c r="B9" s="505"/>
      <c r="C9" s="455"/>
      <c r="D9" s="504"/>
      <c r="E9" s="455"/>
      <c r="F9" s="505"/>
      <c r="G9" s="455"/>
      <c r="H9" s="455"/>
      <c r="I9" s="504"/>
      <c r="J9" s="455"/>
      <c r="K9" s="505"/>
      <c r="L9" s="533"/>
      <c r="P9" s="453"/>
      <c r="Q9" s="456" t="s">
        <v>448</v>
      </c>
      <c r="R9" s="457">
        <v>178.2</v>
      </c>
      <c r="S9" s="458"/>
      <c r="T9" s="453"/>
    </row>
    <row r="10" spans="1:20">
      <c r="A10" s="455"/>
      <c r="B10" s="505" t="s">
        <v>449</v>
      </c>
      <c r="C10" s="514">
        <f>+Worksheet!C24</f>
        <v>0</v>
      </c>
      <c r="D10" s="515">
        <f>C10*0.00625*1.1</f>
        <v>0</v>
      </c>
      <c r="E10" s="455"/>
      <c r="F10" s="505" t="s">
        <v>450</v>
      </c>
      <c r="G10" s="527">
        <f>+IF(G6="yes",+H5*2+G8)+IF(G6="no",H5+G8)</f>
        <v>0</v>
      </c>
      <c r="H10" s="455"/>
      <c r="I10" s="504"/>
      <c r="J10" s="455"/>
      <c r="K10" s="505" t="s">
        <v>451</v>
      </c>
      <c r="L10" s="534">
        <f>+(L6*L8)/12</f>
        <v>0</v>
      </c>
      <c r="P10" s="453"/>
      <c r="Q10" s="456" t="s">
        <v>452</v>
      </c>
      <c r="R10" s="457">
        <v>138.51</v>
      </c>
      <c r="S10" s="458"/>
      <c r="T10" s="453"/>
    </row>
    <row r="11" spans="1:20" ht="12.75" thickBot="1">
      <c r="A11" s="455"/>
      <c r="B11" s="506" t="s">
        <v>453</v>
      </c>
      <c r="C11" s="512"/>
      <c r="D11" s="513"/>
      <c r="E11" s="455"/>
      <c r="F11" s="505"/>
      <c r="G11" s="521"/>
      <c r="H11" s="455"/>
      <c r="I11" s="504"/>
      <c r="J11" s="455"/>
      <c r="K11" s="505"/>
      <c r="L11" s="533"/>
      <c r="P11" s="453"/>
      <c r="Q11" s="456"/>
      <c r="R11" s="456"/>
      <c r="S11" s="458"/>
      <c r="T11" s="453"/>
    </row>
    <row r="12" spans="1:20" ht="12.75" thickBot="1">
      <c r="A12" s="455"/>
      <c r="B12" s="455"/>
      <c r="C12" s="455"/>
      <c r="D12" s="455"/>
      <c r="E12" s="455"/>
      <c r="F12" s="505"/>
      <c r="G12" s="522"/>
      <c r="H12" s="455"/>
      <c r="I12" s="504"/>
      <c r="J12" s="455"/>
      <c r="K12" s="529"/>
      <c r="L12" s="532"/>
      <c r="P12" s="453"/>
      <c r="Q12" s="458"/>
      <c r="R12" s="458"/>
      <c r="S12" s="458"/>
      <c r="T12" s="453"/>
    </row>
    <row r="13" spans="1:20">
      <c r="A13" s="613"/>
      <c r="B13" s="611" t="s">
        <v>454</v>
      </c>
      <c r="C13" s="509"/>
      <c r="D13" s="503"/>
      <c r="E13" s="455"/>
      <c r="F13" s="519" t="s">
        <v>455</v>
      </c>
      <c r="G13" s="455"/>
      <c r="H13" s="455"/>
      <c r="I13" s="504"/>
      <c r="J13" s="455"/>
      <c r="K13" s="505" t="s">
        <v>456</v>
      </c>
      <c r="L13" s="533"/>
      <c r="P13" s="453"/>
      <c r="Q13" s="456"/>
      <c r="R13" s="458"/>
      <c r="S13" s="458"/>
      <c r="T13" s="453"/>
    </row>
    <row r="14" spans="1:20">
      <c r="A14" s="504"/>
      <c r="C14" s="508"/>
      <c r="D14" s="504"/>
      <c r="E14" s="455"/>
      <c r="F14" s="505"/>
      <c r="G14" s="455"/>
      <c r="H14" s="455"/>
      <c r="I14" s="504"/>
      <c r="J14" s="455"/>
      <c r="K14" s="505" t="s">
        <v>440</v>
      </c>
      <c r="L14" s="534">
        <f>+Worksheet!C45*12</f>
        <v>0</v>
      </c>
      <c r="P14" s="453"/>
      <c r="Q14" s="456" t="s">
        <v>435</v>
      </c>
      <c r="R14" s="458"/>
      <c r="S14" s="458"/>
      <c r="T14" s="453"/>
    </row>
    <row r="15" spans="1:20">
      <c r="A15" s="504"/>
      <c r="B15" s="612" t="s">
        <v>457</v>
      </c>
      <c r="C15" s="609">
        <v>220</v>
      </c>
      <c r="D15" s="504"/>
      <c r="E15" s="455"/>
      <c r="F15" s="505" t="s">
        <v>458</v>
      </c>
      <c r="G15" s="455" t="s">
        <v>459</v>
      </c>
      <c r="H15" s="455"/>
      <c r="I15" s="504"/>
      <c r="J15" s="455"/>
      <c r="K15" s="505"/>
      <c r="L15" s="533"/>
      <c r="P15" s="453"/>
      <c r="Q15" s="458" t="s">
        <v>460</v>
      </c>
      <c r="R15" s="458">
        <v>395</v>
      </c>
      <c r="S15" s="458">
        <v>12</v>
      </c>
      <c r="T15" s="453"/>
    </row>
    <row r="16" spans="1:20">
      <c r="A16" s="504"/>
      <c r="B16" s="455" t="s">
        <v>461</v>
      </c>
      <c r="C16" s="610">
        <f>C15/11</f>
        <v>20</v>
      </c>
      <c r="D16" s="504"/>
      <c r="E16" s="455"/>
      <c r="F16" s="505" t="s">
        <v>462</v>
      </c>
      <c r="G16" s="455" t="s">
        <v>459</v>
      </c>
      <c r="H16" s="455"/>
      <c r="I16" s="504"/>
      <c r="J16" s="455"/>
      <c r="K16" s="505" t="s">
        <v>446</v>
      </c>
      <c r="L16" s="535">
        <f>+VLOOKUP(L14,HELP_Table_2020_21,2,TRUE)</f>
        <v>0</v>
      </c>
      <c r="P16" s="453"/>
      <c r="Q16" s="458" t="s">
        <v>463</v>
      </c>
      <c r="R16" s="458">
        <f>33*S16</f>
        <v>363</v>
      </c>
      <c r="S16" s="458">
        <v>11</v>
      </c>
      <c r="T16" s="453"/>
    </row>
    <row r="17" spans="1:20">
      <c r="A17" s="455"/>
      <c r="B17" s="505" t="s">
        <v>464</v>
      </c>
      <c r="C17" s="610">
        <f>C16*0.25</f>
        <v>5</v>
      </c>
      <c r="D17" s="504"/>
      <c r="E17" s="455"/>
      <c r="F17" s="505"/>
      <c r="G17" s="455"/>
      <c r="H17" s="455"/>
      <c r="I17" s="504"/>
      <c r="J17" s="455"/>
      <c r="K17" s="505"/>
      <c r="L17" s="533"/>
      <c r="P17" s="453"/>
      <c r="Q17" s="458" t="s">
        <v>465</v>
      </c>
      <c r="R17" s="458">
        <f>R16-33</f>
        <v>330</v>
      </c>
      <c r="S17" s="458">
        <v>10</v>
      </c>
      <c r="T17" s="453"/>
    </row>
    <row r="18" spans="1:20">
      <c r="A18" s="455"/>
      <c r="B18" s="614" t="s">
        <v>466</v>
      </c>
      <c r="C18" s="615">
        <f>(C15-C16)+C17</f>
        <v>205</v>
      </c>
      <c r="D18" s="504" t="s">
        <v>467</v>
      </c>
      <c r="E18" s="455"/>
      <c r="F18" s="505"/>
      <c r="G18" s="455"/>
      <c r="H18" s="455"/>
      <c r="I18" s="504"/>
      <c r="J18" s="455"/>
      <c r="K18" s="505" t="s">
        <v>451</v>
      </c>
      <c r="L18" s="534">
        <f>+(L14*L16)/12</f>
        <v>0</v>
      </c>
      <c r="P18" s="453"/>
      <c r="Q18" s="458" t="s">
        <v>468</v>
      </c>
      <c r="R18" s="458">
        <f t="shared" ref="R18:R25" si="0">R17-33</f>
        <v>297</v>
      </c>
      <c r="S18" s="458">
        <v>9</v>
      </c>
      <c r="T18" s="453"/>
    </row>
    <row r="19" spans="1:20" ht="12.75" thickBot="1">
      <c r="A19" s="455"/>
      <c r="B19" s="608" t="s">
        <v>469</v>
      </c>
      <c r="C19" s="510">
        <f>C18-205</f>
        <v>0</v>
      </c>
      <c r="D19" s="511" t="s">
        <v>470</v>
      </c>
      <c r="E19" s="455"/>
      <c r="F19" s="506"/>
      <c r="G19" s="523"/>
      <c r="H19" s="523"/>
      <c r="I19" s="511"/>
      <c r="J19" s="455"/>
      <c r="K19" s="506"/>
      <c r="L19" s="536"/>
      <c r="P19" s="453"/>
      <c r="Q19" s="458" t="s">
        <v>471</v>
      </c>
      <c r="R19" s="458">
        <f t="shared" si="0"/>
        <v>264</v>
      </c>
      <c r="S19" s="458">
        <v>8</v>
      </c>
      <c r="T19" s="453"/>
    </row>
    <row r="20" spans="1:20">
      <c r="A20" s="455"/>
      <c r="B20" s="455"/>
      <c r="C20" s="455"/>
      <c r="D20" s="455"/>
      <c r="E20" s="455"/>
      <c r="F20" s="455"/>
      <c r="G20" s="455"/>
      <c r="H20" s="455"/>
      <c r="I20" s="455"/>
      <c r="J20" s="455"/>
      <c r="K20" s="455"/>
      <c r="P20" s="453"/>
      <c r="Q20" s="458" t="s">
        <v>472</v>
      </c>
      <c r="R20" s="458">
        <f t="shared" si="0"/>
        <v>231</v>
      </c>
      <c r="S20" s="458">
        <v>7</v>
      </c>
      <c r="T20" s="453"/>
    </row>
    <row r="21" spans="1:20">
      <c r="A21" s="455"/>
      <c r="B21" s="455"/>
      <c r="C21" s="455"/>
      <c r="D21" s="455"/>
      <c r="E21" s="455"/>
      <c r="F21" s="455"/>
      <c r="G21" s="455"/>
      <c r="H21" s="455"/>
      <c r="I21" s="455"/>
      <c r="J21" s="455"/>
      <c r="K21" s="455"/>
      <c r="P21" s="453"/>
      <c r="Q21" s="458" t="s">
        <v>473</v>
      </c>
      <c r="R21" s="458">
        <f t="shared" si="0"/>
        <v>198</v>
      </c>
      <c r="S21" s="458">
        <v>6</v>
      </c>
      <c r="T21" s="453"/>
    </row>
    <row r="22" spans="1:20">
      <c r="A22" s="451" t="s">
        <v>1442</v>
      </c>
      <c r="B22" s="450"/>
      <c r="C22" s="450"/>
      <c r="D22" s="450"/>
      <c r="E22" s="450"/>
      <c r="F22" s="450"/>
      <c r="G22" s="450"/>
      <c r="H22" s="450"/>
      <c r="I22" s="450"/>
      <c r="J22" s="450"/>
      <c r="K22" s="451" t="s">
        <v>474</v>
      </c>
      <c r="L22" s="476"/>
      <c r="M22" s="450"/>
      <c r="N22" s="450"/>
      <c r="P22" s="453"/>
      <c r="Q22" s="458" t="s">
        <v>475</v>
      </c>
      <c r="R22" s="458">
        <f t="shared" si="0"/>
        <v>165</v>
      </c>
      <c r="S22" s="458">
        <v>5</v>
      </c>
      <c r="T22" s="453"/>
    </row>
    <row r="23" spans="1:20">
      <c r="P23" s="453"/>
      <c r="Q23" s="458" t="s">
        <v>476</v>
      </c>
      <c r="R23" s="458">
        <f t="shared" si="0"/>
        <v>132</v>
      </c>
      <c r="S23" s="458">
        <v>4</v>
      </c>
      <c r="T23" s="453"/>
    </row>
    <row r="24" spans="1:20">
      <c r="K24" s="459" t="s">
        <v>477</v>
      </c>
      <c r="L24" s="477" t="s">
        <v>358</v>
      </c>
      <c r="M24" s="459" t="s">
        <v>453</v>
      </c>
      <c r="N24" s="480" t="s">
        <v>478</v>
      </c>
      <c r="P24" s="453"/>
      <c r="Q24" s="458" t="s">
        <v>479</v>
      </c>
      <c r="R24" s="458">
        <f t="shared" si="0"/>
        <v>99</v>
      </c>
      <c r="S24" s="458">
        <v>3</v>
      </c>
      <c r="T24" s="453"/>
    </row>
    <row r="25" spans="1:20">
      <c r="K25" s="452" t="s">
        <v>480</v>
      </c>
      <c r="L25" s="475" t="s">
        <v>481</v>
      </c>
      <c r="M25" s="452" t="s">
        <v>481</v>
      </c>
      <c r="N25" s="462" t="s">
        <v>482</v>
      </c>
      <c r="P25" s="453"/>
      <c r="Q25" s="458" t="s">
        <v>483</v>
      </c>
      <c r="R25" s="458">
        <f t="shared" si="0"/>
        <v>66</v>
      </c>
      <c r="S25" s="458">
        <v>2</v>
      </c>
      <c r="T25" s="453"/>
    </row>
    <row r="26" spans="1:20">
      <c r="K26" s="460" t="s">
        <v>484</v>
      </c>
      <c r="L26" s="478" t="s">
        <v>481</v>
      </c>
      <c r="M26" s="460" t="s">
        <v>481</v>
      </c>
      <c r="N26" s="462" t="s">
        <v>485</v>
      </c>
      <c r="P26" s="453"/>
      <c r="Q26" s="458" t="s">
        <v>486</v>
      </c>
      <c r="R26" s="458">
        <v>33</v>
      </c>
      <c r="S26" s="458">
        <v>1</v>
      </c>
      <c r="T26" s="453"/>
    </row>
    <row r="27" spans="1:20" ht="24">
      <c r="G27" s="719" t="s">
        <v>1627</v>
      </c>
      <c r="H27" s="719"/>
      <c r="K27" s="460" t="s">
        <v>487</v>
      </c>
      <c r="L27" s="478" t="s">
        <v>481</v>
      </c>
      <c r="M27" s="460" t="s">
        <v>488</v>
      </c>
      <c r="N27" s="462" t="s">
        <v>489</v>
      </c>
      <c r="P27" s="453"/>
      <c r="Q27" s="453"/>
      <c r="R27" s="453"/>
      <c r="S27" s="453"/>
      <c r="T27" s="453"/>
    </row>
    <row r="28" spans="1:20">
      <c r="K28" s="460" t="s">
        <v>490</v>
      </c>
      <c r="L28" s="478" t="s">
        <v>481</v>
      </c>
      <c r="M28" s="460" t="s">
        <v>488</v>
      </c>
      <c r="N28" s="462"/>
      <c r="P28" s="453"/>
      <c r="Q28" s="453"/>
      <c r="R28" s="453"/>
      <c r="S28" s="453"/>
      <c r="T28" s="453"/>
    </row>
    <row r="29" spans="1:20">
      <c r="G29" s="452" t="s">
        <v>441</v>
      </c>
      <c r="H29" s="500">
        <v>178</v>
      </c>
      <c r="K29" s="460" t="s">
        <v>491</v>
      </c>
      <c r="L29" s="479">
        <v>350</v>
      </c>
      <c r="M29" s="460" t="s">
        <v>488</v>
      </c>
      <c r="N29" s="462" t="s">
        <v>492</v>
      </c>
      <c r="P29" s="461"/>
      <c r="Q29" s="461"/>
      <c r="R29" s="461"/>
      <c r="S29" s="461"/>
      <c r="T29" s="461"/>
    </row>
    <row r="30" spans="1:20">
      <c r="G30" s="452" t="s">
        <v>433</v>
      </c>
      <c r="H30" s="500">
        <v>175.7</v>
      </c>
      <c r="K30" s="460" t="s">
        <v>493</v>
      </c>
      <c r="L30" s="478" t="s">
        <v>481</v>
      </c>
      <c r="M30" s="460" t="s">
        <v>494</v>
      </c>
      <c r="N30" s="462" t="s">
        <v>495</v>
      </c>
    </row>
    <row r="31" spans="1:20">
      <c r="G31" s="452" t="s">
        <v>442</v>
      </c>
      <c r="H31" s="500">
        <v>176</v>
      </c>
      <c r="K31" s="460" t="s">
        <v>496</v>
      </c>
      <c r="L31" s="478" t="s">
        <v>481</v>
      </c>
      <c r="M31" s="460" t="s">
        <v>494</v>
      </c>
      <c r="N31" s="462" t="s">
        <v>497</v>
      </c>
    </row>
    <row r="32" spans="1:20">
      <c r="G32" s="452" t="s">
        <v>432</v>
      </c>
      <c r="H32" s="500">
        <v>238.14</v>
      </c>
      <c r="K32" s="460" t="s">
        <v>498</v>
      </c>
      <c r="L32" s="478" t="s">
        <v>481</v>
      </c>
      <c r="M32" s="460" t="s">
        <v>499</v>
      </c>
      <c r="N32" s="462" t="s">
        <v>500</v>
      </c>
    </row>
    <row r="33" spans="7:14">
      <c r="G33" s="452" t="s">
        <v>447</v>
      </c>
      <c r="H33" s="500">
        <v>198</v>
      </c>
      <c r="K33" s="460" t="s">
        <v>501</v>
      </c>
      <c r="L33" s="479">
        <v>375</v>
      </c>
      <c r="M33" s="460" t="s">
        <v>488</v>
      </c>
      <c r="N33" s="462" t="s">
        <v>502</v>
      </c>
    </row>
    <row r="34" spans="7:14">
      <c r="G34" s="452" t="s">
        <v>452</v>
      </c>
      <c r="H34" s="500">
        <v>163.30000000000001</v>
      </c>
      <c r="K34" s="460" t="s">
        <v>503</v>
      </c>
      <c r="L34" s="479">
        <v>15</v>
      </c>
      <c r="M34" s="460" t="s">
        <v>488</v>
      </c>
      <c r="N34" s="462" t="s">
        <v>502</v>
      </c>
    </row>
    <row r="35" spans="7:14">
      <c r="G35" s="452" t="s">
        <v>437</v>
      </c>
      <c r="H35" s="500">
        <v>125.7</v>
      </c>
      <c r="K35" s="460" t="s">
        <v>504</v>
      </c>
      <c r="L35" s="479">
        <v>25</v>
      </c>
      <c r="M35" s="460" t="s">
        <v>488</v>
      </c>
      <c r="N35" s="462" t="s">
        <v>502</v>
      </c>
    </row>
    <row r="36" spans="7:14">
      <c r="G36" s="452" t="s">
        <v>448</v>
      </c>
      <c r="H36" s="500">
        <v>216.6</v>
      </c>
      <c r="K36" s="460" t="s">
        <v>505</v>
      </c>
      <c r="L36" s="479">
        <v>395</v>
      </c>
      <c r="M36" s="460" t="s">
        <v>488</v>
      </c>
      <c r="N36" s="462" t="s">
        <v>506</v>
      </c>
    </row>
    <row r="37" spans="7:14" ht="24">
      <c r="K37" s="460" t="s">
        <v>507</v>
      </c>
      <c r="L37" s="478" t="s">
        <v>481</v>
      </c>
      <c r="M37" s="460" t="s">
        <v>488</v>
      </c>
      <c r="N37" s="462" t="s">
        <v>508</v>
      </c>
    </row>
    <row r="38" spans="7:14">
      <c r="K38" s="460" t="s">
        <v>509</v>
      </c>
      <c r="L38" s="478" t="s">
        <v>481</v>
      </c>
      <c r="M38" s="460" t="s">
        <v>488</v>
      </c>
      <c r="N38" s="462" t="s">
        <v>506</v>
      </c>
    </row>
    <row r="39" spans="7:14" ht="24">
      <c r="K39" s="460" t="s">
        <v>510</v>
      </c>
      <c r="L39" s="479">
        <v>150</v>
      </c>
      <c r="M39" s="460" t="s">
        <v>488</v>
      </c>
      <c r="N39" s="462" t="s">
        <v>511</v>
      </c>
    </row>
    <row r="40" spans="7:14" ht="96">
      <c r="K40" s="460" t="s">
        <v>512</v>
      </c>
      <c r="L40" s="478" t="s">
        <v>481</v>
      </c>
      <c r="M40" s="460" t="s">
        <v>513</v>
      </c>
      <c r="N40" s="462" t="s">
        <v>514</v>
      </c>
    </row>
    <row r="41" spans="7:14">
      <c r="K41" s="460" t="s">
        <v>515</v>
      </c>
      <c r="L41" s="479">
        <v>50</v>
      </c>
      <c r="M41" s="460" t="s">
        <v>488</v>
      </c>
      <c r="N41" s="462"/>
    </row>
    <row r="42" spans="7:14" ht="36">
      <c r="K42" s="460" t="s">
        <v>516</v>
      </c>
      <c r="L42" s="478" t="s">
        <v>481</v>
      </c>
      <c r="M42" s="460" t="s">
        <v>513</v>
      </c>
      <c r="N42" s="462" t="s">
        <v>517</v>
      </c>
    </row>
    <row r="46" spans="7:14">
      <c r="K46" s="605"/>
      <c r="L46" s="606"/>
    </row>
    <row r="47" spans="7:14">
      <c r="L47" s="603"/>
    </row>
    <row r="48" spans="7:14">
      <c r="L48" s="603"/>
    </row>
    <row r="49" spans="1:12">
      <c r="L49" s="603"/>
    </row>
    <row r="50" spans="1:12">
      <c r="L50" s="603"/>
    </row>
    <row r="51" spans="1:12">
      <c r="K51" s="605"/>
      <c r="L51" s="607"/>
    </row>
    <row r="52" spans="1:12">
      <c r="L52" s="604"/>
    </row>
    <row r="53" spans="1:12">
      <c r="L53" s="604"/>
    </row>
    <row r="54" spans="1:12">
      <c r="L54" s="604"/>
    </row>
    <row r="56" spans="1:12" ht="12.75" thickBot="1"/>
    <row r="57" spans="1:12">
      <c r="A57" s="463"/>
      <c r="B57" s="463"/>
      <c r="C57" s="463"/>
      <c r="D57" s="463"/>
      <c r="E57" s="464"/>
      <c r="F57" s="465"/>
    </row>
    <row r="58" spans="1:12">
      <c r="A58" s="466"/>
      <c r="B58" s="466"/>
      <c r="C58" s="467" t="s">
        <v>388</v>
      </c>
      <c r="D58" s="466"/>
      <c r="E58" s="468"/>
      <c r="F58" s="469"/>
    </row>
    <row r="59" spans="1:12" ht="12.75" thickBot="1">
      <c r="A59" s="470"/>
      <c r="B59" s="470"/>
      <c r="C59" s="471"/>
      <c r="D59" s="471"/>
      <c r="E59" s="472"/>
      <c r="F59" s="473"/>
    </row>
    <row r="60" spans="1:12">
      <c r="A60" s="463"/>
      <c r="B60" s="463"/>
      <c r="C60" s="463"/>
      <c r="D60" s="463"/>
      <c r="E60" s="464"/>
      <c r="F60" s="465"/>
    </row>
    <row r="61" spans="1:12">
      <c r="A61" s="466"/>
      <c r="B61" s="466"/>
      <c r="C61" s="474" t="s">
        <v>518</v>
      </c>
      <c r="D61" s="466"/>
      <c r="E61" s="468"/>
      <c r="F61" s="469"/>
    </row>
    <row r="62" spans="1:12" ht="12.75" thickBot="1">
      <c r="A62" s="471"/>
      <c r="B62" s="471"/>
      <c r="C62" s="471"/>
      <c r="D62" s="471"/>
      <c r="E62" s="472"/>
      <c r="F62" s="473"/>
    </row>
  </sheetData>
  <sheetProtection algorithmName="SHA-512" hashValue="miLb1oB6vHnzgzC8NiDVrLQ77KBc8rXiZFo/stWJh+Lq5AEddKeauLUs0Y9z27z6fMYN6ePrSZH56YpgBEBuKA==" saltValue="ekX34hNX+X/3cniupdlF/g==" spinCount="100000" sheet="1" selectLockedCells="1"/>
  <dataValidations count="4">
    <dataValidation type="list" allowBlank="1" showInputMessage="1" showErrorMessage="1" sqref="G6" xr:uid="{6FD2CC62-6145-41DA-9434-B0ACF37D1FAD}">
      <formula1>"Select Option, Yes, No"</formula1>
    </dataValidation>
    <dataValidation type="list" allowBlank="1" showInputMessage="1" showErrorMessage="1" sqref="C11" xr:uid="{5E4984C2-D78B-41B7-A6B5-2F0EE239D21E}">
      <formula1>"Select Aggregator, Regional Finance Group, Purple Circle Financial Services PTY LTD, Specialist Finance Group"</formula1>
    </dataValidation>
    <dataValidation type="list" allowBlank="1" showInputMessage="1" showErrorMessage="1" sqref="G5" xr:uid="{080FEA77-1E2E-4A2A-AE6B-4045D5CA2251}">
      <formula1>"Select State, QLD, NSW, VIC, SA, WA, TAS, NT, ACT"</formula1>
    </dataValidation>
    <dataValidation type="list" allowBlank="1" showInputMessage="1" showErrorMessage="1" sqref="C5" xr:uid="{19086F1A-1E9E-4C39-A0E9-C2E74DE38327}">
      <formula1>"Select Month, July, August, September, October, November, December, January, February, March, April, May, June"</formula1>
    </dataValidation>
  </dataValidations>
  <hyperlinks>
    <hyperlink ref="C61" r:id="rId1" xr:uid="{A139DEAB-50D7-4795-B846-B17414DCC594}"/>
    <hyperlink ref="C58" r:id="rId2" xr:uid="{C295F650-0AC4-493C-9A3C-136E66EA54B3}"/>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c D A A B Q S w M E F A A C A A g A 8 3 1 H W i u W A M m k A A A A 9 g A A A B I A H A B D b 2 5 m a W c v U G F j a 2 F n Z S 5 4 b W w g o h g A K K A U A A A A A A A A A A A A A A A A A A A A A A A A A A A A h Y 9 B D o I w F E S v Q r q n L b A h 5 F N j 3 E p i Y j R u m 1 K h E T 6 G F s v d X H g k r y B G U X c u Z + Z N M n O / 3 m A x t k 1 w 0 b 0 1 H e Y k o p w E G l V X G q x y M r h j m J K F g I 1 U J 1 n p Y I L R Z q M 1 O a m d O 2 e M e e + p T 2 j X V y z m P G K H Y r 1 V t W 5 l a N A 6 i U q T T 6 v 8 3 y I C 9 q 8 x I q Z R k t I o 5 Z Q D m 0 0 o D H 6 B e N r 7 T H 9 M W A 2 N G 3 o t N I b L H b B Z A n t / E A 9 Q S w M E F A A C A A g A 8 3 1 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N 9 R 1 p L q U t K s Q A A A P g A A A A T A B w A R m 9 y b X V s Y X M v U 2 V j d G l v b j E u b S C i G A A o o B Q A A A A A A A A A A A A A A A A A A A A A A A A A A A B t j b E K g 0 A Q R H v B f 1 g u T Q Q R r C V F k L R J E S G F W J x m j Z L z V v b O Y B D / P W e u C m S b h Z k 3 M w Y b 2 5 O G q / 9 p F g Z h Y D r J e I d C 1 g p T O I B C G w b g 7 k o T N + i U 0 9 y g S v K J G b W 9 E T 9 r o u c + W s q z H P A g f F J U a 5 m T t g 6 p Y l + w E 3 k n 9 W M r f 4 8 o X N M X T Q q W 2 r T E Q 0 5 q G v R m m r 1 f i 5 d F H M e R 6 S U V X N q 2 b 5 C N i M E 6 B i z O d o 1 h E T 6 X / u h r F A a 9 / j u c f Q B Q S w E C L Q A U A A I A C A D z f U d a K 5 Y A y a Q A A A D 2 A A A A E g A A A A A A A A A A A A A A A A A A A A A A Q 2 9 u Z m l n L 1 B h Y 2 t h Z 2 U u e G 1 s U E s B A i 0 A F A A C A A g A 8 3 1 H W g / K 6 a u k A A A A 6 Q A A A B M A A A A A A A A A A A A A A A A A 8 A A A A F t D b 2 5 0 Z W 5 0 X 1 R 5 c G V z X S 5 4 b W x Q S w E C L Q A U A A I A C A D z f U d a S 6 l L S r E A A A D 4 A A A A E w A A A A A A A A A A A A A A A A D h 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v C A A A A A A A A I 0 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M t M T E t M T N U M D Y 6 M T Y 6 N D M u N T c z M D A 0 N 1 o i I C 8 + P E V u d H J 5 I F R 5 c G U 9 I k Z p b G x D b 2 x 1 b W 5 U e X B l c y I g V m F s d W U 9 I n N C Z 1 k 9 I i A v P j x F b n R y e S B U e X B l P S J G a W x s Q 2 9 s d W 1 u T m F t Z X M i I F Z h b H V l P S J z W y Z x d W 9 0 O 0 F w c H J v d m F s I E 9 m Z m l j Z X J z J n F 1 b 3 Q 7 L C Z x d W 9 0 O 0 N v b H V t b j E 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X V 0 b 1 J l b W 9 2 Z W R D b 2 x 1 b W 5 z M S 5 7 Q X B w c m 9 2 Y W w g T 2 Z m a W N l c n M s M H 0 m c X V v d D s s J n F 1 b 3 Q 7 U 2 V j d G l v b j E v V G F i b G U x L 0 F 1 d G 9 S Z W 1 v d m V k Q 2 9 s d W 1 u c z E u e 0 N v b H V t b j E s M X 0 m c X V v d D t d L C Z x d W 9 0 O 0 N v b H V t b k N v d W 5 0 J n F 1 b 3 Q 7 O j I s J n F 1 b 3 Q 7 S 2 V 5 Q 2 9 s d W 1 u T m F t Z X M m c X V v d D s 6 W 1 0 s J n F 1 b 3 Q 7 Q 2 9 s d W 1 u S W R l b n R p d G l l c y Z x d W 9 0 O z p b J n F 1 b 3 Q 7 U 2 V j d G l v b j E v V G F i b G U x L 0 F 1 d G 9 S Z W 1 v d m V k Q 2 9 s d W 1 u c z E u e 0 F w c H J v d m F s I E 9 m Z m l j Z X J z L D B 9 J n F 1 b 3 Q 7 L C Z x d W 9 0 O 1 N l Y 3 R p b 2 4 x L 1 R h Y m x l M S 9 B d X R v U m V t b 3 Z l Z E N v b H V t b n M x L n t D b 2 x 1 b W 4 x 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2 g A A A A E A A A D Q j J 3 f A R X R E Y x 6 A M B P w p f r A Q A A A G V s B M l B X w t K p e H N l f 4 + 8 U 4 A A A A A A g A A A A A A A 2 Y A A M A A A A A Q A A A A r 6 9 M S 3 9 V 2 B n c y 6 s 7 t z G H P w A A A A A E g A A A o A A A A B A A A A B H G Q 8 y z L G W E L 6 k Q N O Y 7 j k J U A A A A N Q T E 3 q v i p w / 6 F V o h 5 6 q A p A J x R f W j 6 Y o K c J D 8 i l O U Y 6 t k 2 X L y R a 3 k a 3 n X C p Z k N 1 Q 6 7 p 2 O E b F w Q 1 A a l N B P a 7 z x z G V c + L / B 9 B i j P U K 4 J W S W E 9 B F A A A A I h + 6 Q K Q P w M s 1 4 J 9 g + 9 G r U O Y A J 1 r < / D a t a M a s h u p > 
</file>

<file path=customXml/item2.xml><?xml version="1.0" encoding="utf-8"?>
<ct:contentTypeSchema xmlns:ct="http://schemas.microsoft.com/office/2006/metadata/contentType" xmlns:ma="http://schemas.microsoft.com/office/2006/metadata/properties/metaAttributes" ct:_="" ma:_="" ma:contentTypeName="Document" ma:contentTypeID="0x0101003A80D817205A7641880AB1EDFD992425" ma:contentTypeVersion="10" ma:contentTypeDescription="Create a new document." ma:contentTypeScope="" ma:versionID="93a6ce70012e0b49543ea928cb4c918f">
  <xsd:schema xmlns:xsd="http://www.w3.org/2001/XMLSchema" xmlns:xs="http://www.w3.org/2001/XMLSchema" xmlns:p="http://schemas.microsoft.com/office/2006/metadata/properties" xmlns:ns2="9b15dea5-ceb0-4fff-baae-39754becfca2" targetNamespace="http://schemas.microsoft.com/office/2006/metadata/properties" ma:root="true" ma:fieldsID="393aa82595e7595bf2ea97bc4e5ce522" ns2:_="">
    <xsd:import namespace="9b15dea5-ceb0-4fff-baae-39754becfca2"/>
    <xsd:element name="properties">
      <xsd:complexType>
        <xsd:sequence>
          <xsd:element name="documentManagement">
            <xsd:complexType>
              <xsd:all>
                <xsd:element ref="ns2:Owner" minOccurs="0"/>
                <xsd:element ref="ns2:FurtherDetail" minOccurs="0"/>
                <xsd:element ref="ns2:OwnerorOtherDetail" minOccurs="0"/>
                <xsd:element ref="ns2:DocumentNumber"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5dea5-ceb0-4fff-baae-39754becfca2" elementFormDefault="qualified">
    <xsd:import namespace="http://schemas.microsoft.com/office/2006/documentManagement/types"/>
    <xsd:import namespace="http://schemas.microsoft.com/office/infopath/2007/PartnerControls"/>
    <xsd:element name="Owner" ma:index="2" nillable="true" ma:displayName="Owner" ma:format="Dropdown" ma:internalName="Owner">
      <xsd:simpleType>
        <xsd:restriction base="dms:Text">
          <xsd:maxLength value="255"/>
        </xsd:restriction>
      </xsd:simpleType>
    </xsd:element>
    <xsd:element name="FurtherDetail" ma:index="3" nillable="true" ma:displayName="Further Detail" ma:format="Dropdown" ma:internalName="FurtherDetail">
      <xsd:simpleType>
        <xsd:restriction base="dms:Note">
          <xsd:maxLength value="255"/>
        </xsd:restriction>
      </xsd:simpleType>
    </xsd:element>
    <xsd:element name="OwnerorOtherDetail" ma:index="4" nillable="true" ma:displayName="Owner or Other Detail" ma:format="Dropdown" ma:internalName="OwnerorOtherDetail">
      <xsd:simpleType>
        <xsd:restriction base="dms:Note">
          <xsd:maxLength value="255"/>
        </xsd:restriction>
      </xsd:simpleType>
    </xsd:element>
    <xsd:element name="DocumentNumber" ma:index="5" nillable="true" ma:displayName="Document Number" ma:format="Dropdown" ma:internalName="DocumentNumber">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orOtherDetail xmlns="9b15dea5-ceb0-4fff-baae-39754becfca2">CEO / Lending Manager</OwnerorOtherDetail>
    <Owner xmlns="9b15dea5-ceb0-4fff-baae-39754becfca2" xsi:nil="true"/>
    <FurtherDetail xmlns="9b15dea5-ceb0-4fff-baae-39754becfca2" xsi:nil="true"/>
    <DocumentNumber xmlns="9b15dea5-ceb0-4fff-baae-39754becfca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392B11-8B4D-4266-B7FA-9AE041D02C5D}">
  <ds:schemaRefs>
    <ds:schemaRef ds:uri="http://schemas.microsoft.com/DataMashup"/>
  </ds:schemaRefs>
</ds:datastoreItem>
</file>

<file path=customXml/itemProps2.xml><?xml version="1.0" encoding="utf-8"?>
<ds:datastoreItem xmlns:ds="http://schemas.openxmlformats.org/officeDocument/2006/customXml" ds:itemID="{B4406FB2-43D5-4ADF-A474-84FE9DD52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5dea5-ceb0-4fff-baae-39754becfc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CE8FD-BE99-4161-AEA7-39F98F9D900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15dea5-ceb0-4fff-baae-39754becfca2"/>
    <ds:schemaRef ds:uri="http://www.w3.org/XML/1998/namespace"/>
    <ds:schemaRef ds:uri="http://purl.org/dc/dcmitype/"/>
  </ds:schemaRefs>
</ds:datastoreItem>
</file>

<file path=customXml/itemProps4.xml><?xml version="1.0" encoding="utf-8"?>
<ds:datastoreItem xmlns:ds="http://schemas.openxmlformats.org/officeDocument/2006/customXml" ds:itemID="{984B9463-F07E-400C-BAAA-29A396FE00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55</vt:i4>
      </vt:variant>
    </vt:vector>
  </HeadingPairs>
  <TitlesOfParts>
    <vt:vector size="72" baseType="lpstr">
      <vt:lpstr>Broker</vt:lpstr>
      <vt:lpstr>Tables_Brokers</vt:lpstr>
      <vt:lpstr>Worksheet</vt:lpstr>
      <vt:lpstr>Tables</vt:lpstr>
      <vt:lpstr>DropINTable</vt:lpstr>
      <vt:lpstr>Schedule of Changes</vt:lpstr>
      <vt:lpstr>Living Expenses</vt:lpstr>
      <vt:lpstr>Funds to Complete</vt:lpstr>
      <vt:lpstr>Fees</vt:lpstr>
      <vt:lpstr>ARS223</vt:lpstr>
      <vt:lpstr>Bridging</vt:lpstr>
      <vt:lpstr>Postcodes</vt:lpstr>
      <vt:lpstr>Self-Employed</vt:lpstr>
      <vt:lpstr>Geographic Classification</vt:lpstr>
      <vt:lpstr>HEM</vt:lpstr>
      <vt:lpstr>Per_child_accounting</vt:lpstr>
      <vt:lpstr>Quantile Regressions</vt:lpstr>
      <vt:lpstr>ACT</vt:lpstr>
      <vt:lpstr>Tables_Brokers!App</vt:lpstr>
      <vt:lpstr>App</vt:lpstr>
      <vt:lpstr>Tables_Brokers!Approval_Officers</vt:lpstr>
      <vt:lpstr>Approval_Officers</vt:lpstr>
      <vt:lpstr>Australia</vt:lpstr>
      <vt:lpstr>CC_Rates</vt:lpstr>
      <vt:lpstr>Tables_Brokers!Confirmed</vt:lpstr>
      <vt:lpstr>Confirmed</vt:lpstr>
      <vt:lpstr>Tables_Brokers!CreditReport</vt:lpstr>
      <vt:lpstr>CreditReport</vt:lpstr>
      <vt:lpstr>Tables_Brokers!Delegations</vt:lpstr>
      <vt:lpstr>Delegations</vt:lpstr>
      <vt:lpstr>Tables_Brokers!Family</vt:lpstr>
      <vt:lpstr>Family</vt:lpstr>
      <vt:lpstr>HELP_Table_2020_21</vt:lpstr>
      <vt:lpstr>Tables_Brokers!Interest_Type</vt:lpstr>
      <vt:lpstr>Interest_Type</vt:lpstr>
      <vt:lpstr>LIVING</vt:lpstr>
      <vt:lpstr>Tables_Brokers!Living_Expenses</vt:lpstr>
      <vt:lpstr>Living_Expenses</vt:lpstr>
      <vt:lpstr>Tables_Brokers!Location</vt:lpstr>
      <vt:lpstr>Location</vt:lpstr>
      <vt:lpstr>Tables_Brokers!NSRRate</vt:lpstr>
      <vt:lpstr>NSRRate</vt:lpstr>
      <vt:lpstr>NSW</vt:lpstr>
      <vt:lpstr>NT</vt:lpstr>
      <vt:lpstr>Tables_Brokers!PayFreq</vt:lpstr>
      <vt:lpstr>PayFreq</vt:lpstr>
      <vt:lpstr>Tables_Brokers!Period</vt:lpstr>
      <vt:lpstr>Period</vt:lpstr>
      <vt:lpstr>Broker!Print_Area</vt:lpstr>
      <vt:lpstr>'Funds to Complete'!Print_Area</vt:lpstr>
      <vt:lpstr>'Living Expenses'!Print_Area</vt:lpstr>
      <vt:lpstr>Tables_Brokers!Print_Area</vt:lpstr>
      <vt:lpstr>Worksheet!Print_Area</vt:lpstr>
      <vt:lpstr>Product_IR</vt:lpstr>
      <vt:lpstr>Tables_Brokers!Product_NSR</vt:lpstr>
      <vt:lpstr>Product_NSR</vt:lpstr>
      <vt:lpstr>ProductDLA</vt:lpstr>
      <vt:lpstr>QLD</vt:lpstr>
      <vt:lpstr>Rates</vt:lpstr>
      <vt:lpstr>Tables_Brokers!Rates_Broker</vt:lpstr>
      <vt:lpstr>Rates_Broker</vt:lpstr>
      <vt:lpstr>Rates_Brokers</vt:lpstr>
      <vt:lpstr>RegFees</vt:lpstr>
      <vt:lpstr>Rent_Discount</vt:lpstr>
      <vt:lpstr>SA</vt:lpstr>
      <vt:lpstr>Tables_Brokers!Single</vt:lpstr>
      <vt:lpstr>Single</vt:lpstr>
      <vt:lpstr>Sydney</vt:lpstr>
      <vt:lpstr>Tables_Brokers</vt:lpstr>
      <vt:lpstr>TAS</vt:lpstr>
      <vt:lpstr>VIC</vt:lpstr>
      <vt:lpstr>WA</vt:lpstr>
    </vt:vector>
  </TitlesOfParts>
  <Manager/>
  <Company>HVO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2022</dc:title>
  <dc:subject/>
  <dc:creator>Therese</dc:creator>
  <cp:keywords>Version 1 April 2022</cp:keywords>
  <dc:description/>
  <cp:lastModifiedBy>Kate Iliffe</cp:lastModifiedBy>
  <cp:revision/>
  <dcterms:created xsi:type="dcterms:W3CDTF">2010-06-22T01:33:36Z</dcterms:created>
  <dcterms:modified xsi:type="dcterms:W3CDTF">2025-10-14T01:24:08Z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0x0101003A80D817205A7641880AB1EDFD992425</vt:lpwstr>
  </property>
</Properties>
</file>